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omments1.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8"/>
  <workbookPr showInkAnnotation="0" codeName="ThisWorkbook" hidePivotFieldList="1" autoCompressPictures="0"/>
  <mc:AlternateContent xmlns:mc="http://schemas.openxmlformats.org/markup-compatibility/2006">
    <mc:Choice Requires="x15">
      <x15ac:absPath xmlns:x15ac="http://schemas.microsoft.com/office/spreadsheetml/2010/11/ac" url="/Users/bowens/Desktop/black vest/clients/ember strategies/nyserda sept 20 files/"/>
    </mc:Choice>
  </mc:AlternateContent>
  <xr:revisionPtr revIDLastSave="0" documentId="13_ncr:1_{0A106F52-956B-DF40-9E6F-968DE813218D}" xr6:coauthVersionLast="47" xr6:coauthVersionMax="47" xr10:uidLastSave="{00000000-0000-0000-0000-000000000000}"/>
  <bookViews>
    <workbookView xWindow="0" yWindow="500" windowWidth="27900" windowHeight="17500" tabRatio="819" xr2:uid="{00000000-000D-0000-FFFF-FFFF00000000}"/>
  </bookViews>
  <sheets>
    <sheet name="Summary (PrintMe)" sheetId="92" r:id="rId1"/>
    <sheet name="Instructions" sheetId="35" r:id="rId2"/>
    <sheet name="Building Info &amp; Assumptions" sheetId="56" r:id="rId3"/>
    <sheet name="Equipment Inventory" sheetId="11" r:id="rId4"/>
    <sheet name="Narrative &amp; Measures" sheetId="17" r:id="rId5"/>
    <sheet name="Alternatives" sheetId="67" r:id="rId6"/>
    <sheet name="Operating Statements" sheetId="71" r:id="rId7"/>
    <sheet name="Inputs Data" sheetId="87" state="hidden" r:id="rId8"/>
    <sheet name="Drop Down Lists" sheetId="18" state="hidden" r:id="rId9"/>
  </sheets>
  <externalReferences>
    <externalReference r:id="rId10"/>
  </externalReferences>
  <definedNames>
    <definedName name="_2__123Graph_ACHART_1" localSheetId="6" hidden="1">'[1]Op. Lease'!#REF!</definedName>
    <definedName name="_2__123Graph_ACHART_1" hidden="1">'[1]Op. Lease'!#REF!</definedName>
    <definedName name="_4__123Graph_ACHART_2" localSheetId="6" hidden="1">'[1]Op. Lease'!#REF!</definedName>
    <definedName name="_4__123Graph_ACHART_2" hidden="1">'[1]Op. Lease'!#REF!</definedName>
    <definedName name="_6__123Graph_XCHART_1" localSheetId="6" hidden="1">'[1]Op. Lease'!#REF!</definedName>
    <definedName name="_6__123Graph_XCHART_1" hidden="1">'[1]Op. Lease'!#REF!</definedName>
    <definedName name="_8__123Graph_XCHART_2" localSheetId="6" hidden="1">'[1]Op. Lease'!#REF!</definedName>
    <definedName name="_8__123Graph_XCHART_2" hidden="1">'[1]Op. Lease'!#REF!</definedName>
    <definedName name="CO2_perEleckBTU">'Building Info &amp; Assumptions'!$B$89</definedName>
    <definedName name="CO2_perEleckBTU_2030">'Building Info &amp; Assumptions'!$J$89</definedName>
    <definedName name="CO2_perNatGaskBTU">'Building Info &amp; Assumptions'!$B$90</definedName>
    <definedName name="CO2_perSteamkBTU">'Building Info &amp; Assumptions'!$B$91</definedName>
    <definedName name="CO2_perUtil4kBTU">'Building Info &amp; Assumptions'!$B$92</definedName>
    <definedName name="CO2_perUtil5kBTU">'Building Info &amp; Assumptions'!$B$93</definedName>
    <definedName name="CO2_perUtil6kBTU">'Building Info &amp; Assumptions'!$B$94</definedName>
    <definedName name="CO2_perUtil7kBTU">'Building Info &amp; Assumptions'!$B$95</definedName>
    <definedName name="CO2_perUtil8kBTU">'Building Info &amp; Assumptions'!$B$96</definedName>
    <definedName name="Control_1">#REF!</definedName>
    <definedName name="Control_2">#REF!</definedName>
    <definedName name="dcfdfd" localSheetId="6" hidden="1">'[1]Op. Lease'!#REF!</definedName>
    <definedName name="dcfdfd" hidden="1">'[1]Op. Lease'!#REF!</definedName>
    <definedName name="EnergyConversionRates">'Drop Down Lists'!$AH$2:$AH$29</definedName>
    <definedName name="EnergyPerformance">#REF!</definedName>
    <definedName name="EnergyUnits">'Drop Down Lists'!$AG$2:$AG$29</definedName>
    <definedName name="esc_baseline_blend">'Building Info &amp; Assumptions'!$B$379</definedName>
    <definedName name="esc_chw">'Building Info &amp; Assumptions'!$B$81</definedName>
    <definedName name="esc_elect">'Building Info &amp; Assumptions'!$B$78</definedName>
    <definedName name="esc_gas">'Building Info &amp; Assumptions'!$B$79</definedName>
    <definedName name="esc_gen">'Building Info &amp; Assumptions'!$B$77</definedName>
    <definedName name="esc_hw">'Building Info &amp; Assumptions'!$B$82</definedName>
    <definedName name="esc_oil">'Building Info &amp; Assumptions'!$B$83</definedName>
    <definedName name="esc_steam">'Building Info &amp; Assumptions'!$B$80</definedName>
    <definedName name="FloorArea_Conditioned">'Building Info &amp; Assumptions'!$B$16</definedName>
    <definedName name="FloorArea_cooled">'Building Info &amp; Assumptions'!$B$18</definedName>
    <definedName name="FloorArea_Gross">'Building Info &amp; Assumptions'!$B$15</definedName>
    <definedName name="FloorArea_heated">'Building Info &amp; Assumptions'!$B$17</definedName>
    <definedName name="Interest">#REF!</definedName>
    <definedName name="kBTUperKWH">'Building Info &amp; Assumptions'!$C$165</definedName>
    <definedName name="kBTUperlbsSteam">'Building Info &amp; Assumptions'!$C$214</definedName>
    <definedName name="kBTUperTherm">'Building Info &amp; Assumptions'!$C$190</definedName>
    <definedName name="kBTUperUnit_Util4">'Building Info &amp; Assumptions'!$C$238</definedName>
    <definedName name="kBTUperUnit_Util5">'Building Info &amp; Assumptions'!$C$262</definedName>
    <definedName name="kBTUperUnit_Util6">'Building Info &amp; Assumptions'!$C$286</definedName>
    <definedName name="kBTUperUnit_Util7">'Building Info &amp; Assumptions'!$C$309</definedName>
    <definedName name="kBTUperUnit_Util8">'Building Info &amp; Assumptions'!$C$332</definedName>
    <definedName name="MARR">#REF!</definedName>
    <definedName name="nb">#REF!</definedName>
    <definedName name="_xlnm.Print_Area" localSheetId="4">'Narrative &amp; Measures'!$A$4:$W$70</definedName>
    <definedName name="PSW_CALCULATE_0" hidden="1">#REF!</definedName>
    <definedName name="PSW_NEXT_0" hidden="1">#REF!</definedName>
    <definedName name="PSWInput_0_0" hidden="1">#REF!</definedName>
    <definedName name="PSWInput_0_1" hidden="1">#REF!</definedName>
    <definedName name="PSWInput_0_10" hidden="1">#REF!</definedName>
    <definedName name="PSWInput_0_11" hidden="1">#REF!</definedName>
    <definedName name="PSWInput_0_12" hidden="1">#REF!</definedName>
    <definedName name="PSWInput_0_13" hidden="1">#REF!</definedName>
    <definedName name="PSWInput_0_14" hidden="1">#REF!</definedName>
    <definedName name="PSWInput_0_15" hidden="1">#REF!</definedName>
    <definedName name="PSWInput_0_16" hidden="1">#REF!</definedName>
    <definedName name="PSWInput_0_17" hidden="1">#REF!</definedName>
    <definedName name="PSWInput_0_18" hidden="1">#REF!</definedName>
    <definedName name="PSWInput_0_19" hidden="1">#REF!</definedName>
    <definedName name="PSWInput_0_2" hidden="1">#REF!</definedName>
    <definedName name="PSWInput_0_20" hidden="1">#REF!</definedName>
    <definedName name="PSWInput_0_21" hidden="1">#REF!</definedName>
    <definedName name="PSWInput_0_22" hidden="1">#REF!</definedName>
    <definedName name="PSWInput_0_23" hidden="1">#REF!</definedName>
    <definedName name="PSWInput_0_24" hidden="1">#REF!</definedName>
    <definedName name="PSWInput_0_25" hidden="1">#REF!</definedName>
    <definedName name="PSWInput_0_26" hidden="1">#REF!</definedName>
    <definedName name="PSWInput_0_27" hidden="1">#REF!</definedName>
    <definedName name="PSWInput_0_28" hidden="1">#REF!</definedName>
    <definedName name="PSWInput_0_29" hidden="1">#REF!</definedName>
    <definedName name="PSWInput_0_3" hidden="1">#REF!</definedName>
    <definedName name="PSWInput_0_30" hidden="1">#REF!</definedName>
    <definedName name="PSWInput_0_31" hidden="1">#REF!</definedName>
    <definedName name="PSWInput_0_32" hidden="1">#REF!</definedName>
    <definedName name="PSWInput_0_4" hidden="1">#REF!</definedName>
    <definedName name="PSWInput_0_5" hidden="1">#REF!</definedName>
    <definedName name="PSWInput_0_6" hidden="1">#REF!</definedName>
    <definedName name="PSWInput_0_7" hidden="1">#REF!</definedName>
    <definedName name="PSWInput_0_8" hidden="1">#REF!</definedName>
    <definedName name="PSWInput_0_9" hidden="1">#REF!</definedName>
    <definedName name="PSWOutput_0" hidden="1">#REF!</definedName>
    <definedName name="PSWSeries_0_0_Labels" hidden="1">#REF!</definedName>
    <definedName name="PSWSeries_0_0_Values" hidden="1">#REF!</definedName>
    <definedName name="PSWSeries_0_1_Labels" hidden="1">#REF!</definedName>
    <definedName name="PSWSeries_0_1_Values" hidden="1">#REF!</definedName>
    <definedName name="Rate_ElecBlended">'Building Info &amp; Assumptions'!$C$166</definedName>
    <definedName name="Rate_EleckW">'Building Info &amp; Assumptions'!$C$168</definedName>
    <definedName name="Rate_EleckWh">'Building Info &amp; Assumptions'!$C$167</definedName>
    <definedName name="Rate_NatGas">'Building Info &amp; Assumptions'!$C$191</definedName>
    <definedName name="Rate_Steam">'Building Info &amp; Assumptions'!$C$215</definedName>
    <definedName name="rate_util4">'Building Info &amp; Assumptions'!$C$239</definedName>
    <definedName name="Rate_Util5">'Building Info &amp; Assumptions'!$C$263</definedName>
    <definedName name="Rate_util6">'Building Info &amp; Assumptions'!$C$287</definedName>
    <definedName name="rate_Util7">'Building Info &amp; Assumptions'!$C$310</definedName>
    <definedName name="rate_Util8">'Building Info &amp; Assumptions'!$C$333</definedName>
    <definedName name="UnitConversionTable">'Drop Down Lists'!$AG$41:$AH$69</definedName>
    <definedName name="Year">#REF!</definedName>
  </definedNames>
  <calcPr calcId="191028"/>
  <pivotCaches>
    <pivotCache cacheId="899"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3" i="71" l="1"/>
  <c r="A364" i="71"/>
  <c r="A365" i="71"/>
  <c r="A366" i="71"/>
  <c r="A367" i="71"/>
  <c r="B289" i="56"/>
  <c r="C308" i="56"/>
  <c r="B265" i="56"/>
  <c r="C285" i="56" s="1"/>
  <c r="C286" i="56" s="1"/>
  <c r="D9" i="18"/>
  <c r="D10" i="18"/>
  <c r="D11" i="18"/>
  <c r="BU28" i="17"/>
  <c r="E77" i="17"/>
  <c r="E78" i="17"/>
  <c r="E79" i="17"/>
  <c r="E80" i="17"/>
  <c r="E81" i="17"/>
  <c r="E82" i="17"/>
  <c r="E76" i="17"/>
  <c r="BI26" i="17" s="1"/>
  <c r="C77" i="17"/>
  <c r="C78" i="17"/>
  <c r="C79" i="17"/>
  <c r="C80" i="17"/>
  <c r="C81" i="17"/>
  <c r="C82" i="17"/>
  <c r="C76" i="17"/>
  <c r="AX29" i="17"/>
  <c r="AX30" i="17"/>
  <c r="AX31" i="17"/>
  <c r="AX33" i="17"/>
  <c r="AX34" i="17"/>
  <c r="AX35" i="17"/>
  <c r="AX37" i="17"/>
  <c r="AX38" i="17"/>
  <c r="AX39" i="17"/>
  <c r="AX40" i="17"/>
  <c r="AX41" i="17"/>
  <c r="AX42" i="17"/>
  <c r="AX43" i="17"/>
  <c r="AX44" i="17"/>
  <c r="AX45" i="17"/>
  <c r="AX46" i="17"/>
  <c r="AX47" i="17"/>
  <c r="AX48" i="17"/>
  <c r="AX49" i="17"/>
  <c r="AX50" i="17"/>
  <c r="AX51" i="17"/>
  <c r="AX52" i="17"/>
  <c r="AX53" i="17"/>
  <c r="AX54" i="17"/>
  <c r="AX55" i="17"/>
  <c r="AX56" i="17"/>
  <c r="AX57" i="17"/>
  <c r="AX58" i="17"/>
  <c r="AX59" i="17"/>
  <c r="AX60" i="17"/>
  <c r="AX61" i="17"/>
  <c r="AX62" i="17"/>
  <c r="AX63" i="17"/>
  <c r="AX64" i="17"/>
  <c r="AX65" i="17"/>
  <c r="AX66" i="17"/>
  <c r="AX67" i="17"/>
  <c r="AX28" i="17"/>
  <c r="BC26" i="17"/>
  <c r="BB26" i="17"/>
  <c r="BA26" i="17"/>
  <c r="AZ26" i="17"/>
  <c r="AY26" i="17"/>
  <c r="AX26" i="17"/>
  <c r="M26" i="17"/>
  <c r="L26" i="17"/>
  <c r="K26" i="17"/>
  <c r="J26" i="17"/>
  <c r="I26" i="17"/>
  <c r="H26" i="17"/>
  <c r="U12" i="11"/>
  <c r="V12" i="11"/>
  <c r="U13" i="11"/>
  <c r="V13" i="11"/>
  <c r="U14" i="11"/>
  <c r="V14" i="11"/>
  <c r="U15" i="11"/>
  <c r="V15" i="11"/>
  <c r="U16" i="11"/>
  <c r="V16" i="11"/>
  <c r="U17" i="11"/>
  <c r="V17" i="11"/>
  <c r="U18" i="11"/>
  <c r="V18" i="11"/>
  <c r="U19" i="11"/>
  <c r="V19" i="11"/>
  <c r="U20" i="11"/>
  <c r="V20" i="11"/>
  <c r="U21" i="11"/>
  <c r="V21" i="11"/>
  <c r="U22" i="11"/>
  <c r="V22" i="11"/>
  <c r="U23" i="11"/>
  <c r="V23" i="11"/>
  <c r="U24" i="11"/>
  <c r="V24" i="11"/>
  <c r="U25" i="11"/>
  <c r="V25" i="11"/>
  <c r="U26" i="11"/>
  <c r="V26" i="11"/>
  <c r="U27" i="11"/>
  <c r="V27" i="11"/>
  <c r="U28" i="11"/>
  <c r="V28" i="11"/>
  <c r="U29" i="11"/>
  <c r="V29" i="11"/>
  <c r="U30" i="11"/>
  <c r="V30" i="11"/>
  <c r="U31" i="11"/>
  <c r="V31" i="11"/>
  <c r="U32" i="11"/>
  <c r="V32" i="11"/>
  <c r="U33" i="11"/>
  <c r="V33" i="11"/>
  <c r="U34" i="11"/>
  <c r="V34" i="11"/>
  <c r="V11" i="11"/>
  <c r="U11" i="11"/>
  <c r="T11" i="11"/>
  <c r="B77" i="56"/>
  <c r="V10" i="11"/>
  <c r="U10" i="11"/>
  <c r="T10" i="11"/>
  <c r="S10" i="11"/>
  <c r="R10" i="11"/>
  <c r="O10" i="11"/>
  <c r="P10" i="11"/>
  <c r="Q10" i="11"/>
  <c r="T12" i="11"/>
  <c r="T13" i="11"/>
  <c r="T14" i="11"/>
  <c r="T15" i="11"/>
  <c r="T16" i="11"/>
  <c r="T17" i="11"/>
  <c r="T18" i="11"/>
  <c r="T19" i="11"/>
  <c r="T20" i="11"/>
  <c r="T21" i="11"/>
  <c r="T22" i="11"/>
  <c r="T23" i="11"/>
  <c r="T24" i="11"/>
  <c r="T25" i="11"/>
  <c r="T26" i="11"/>
  <c r="T27" i="11"/>
  <c r="T28" i="11"/>
  <c r="T29" i="11"/>
  <c r="T30" i="11"/>
  <c r="T31" i="11"/>
  <c r="T32" i="11"/>
  <c r="T33" i="11"/>
  <c r="T34" i="11"/>
  <c r="S11" i="11"/>
  <c r="S12" i="11"/>
  <c r="S13" i="11"/>
  <c r="S14" i="11"/>
  <c r="S15" i="11"/>
  <c r="S16" i="11"/>
  <c r="S17" i="11"/>
  <c r="S18" i="11"/>
  <c r="S19" i="11"/>
  <c r="S20" i="11"/>
  <c r="S21" i="11"/>
  <c r="S22" i="11"/>
  <c r="S23" i="11"/>
  <c r="S24" i="11"/>
  <c r="S25" i="11"/>
  <c r="S26" i="11"/>
  <c r="S27" i="11"/>
  <c r="S28" i="11"/>
  <c r="S29" i="11"/>
  <c r="S30" i="11"/>
  <c r="S31" i="11"/>
  <c r="S32" i="11"/>
  <c r="S33" i="11"/>
  <c r="S34" i="11"/>
  <c r="Q12" i="11"/>
  <c r="Q13" i="11"/>
  <c r="Q14" i="11"/>
  <c r="Q15" i="11"/>
  <c r="Q16" i="11"/>
  <c r="Q17" i="11"/>
  <c r="Q18" i="11"/>
  <c r="Q19" i="11"/>
  <c r="Q20" i="11"/>
  <c r="Q22" i="11"/>
  <c r="Q23" i="11"/>
  <c r="Q24" i="11"/>
  <c r="Q25" i="11"/>
  <c r="Q26" i="11"/>
  <c r="Q27" i="11"/>
  <c r="Q28" i="11"/>
  <c r="Q29" i="11"/>
  <c r="Q30" i="11"/>
  <c r="Q31" i="11"/>
  <c r="Q32" i="11"/>
  <c r="Q33" i="11"/>
  <c r="Q34" i="11"/>
  <c r="Q11" i="11"/>
  <c r="R12" i="11"/>
  <c r="R13" i="11"/>
  <c r="R14" i="11"/>
  <c r="R15" i="11"/>
  <c r="R16" i="11"/>
  <c r="R17" i="11"/>
  <c r="R18" i="11"/>
  <c r="R19" i="11"/>
  <c r="R20" i="11"/>
  <c r="R21" i="11"/>
  <c r="R22" i="11"/>
  <c r="R23" i="11"/>
  <c r="R24" i="11"/>
  <c r="R25" i="11"/>
  <c r="R26" i="11"/>
  <c r="R27" i="11"/>
  <c r="R28" i="11"/>
  <c r="R29" i="11"/>
  <c r="R30" i="11"/>
  <c r="R31" i="11"/>
  <c r="R32" i="11"/>
  <c r="R33" i="11"/>
  <c r="R34" i="11"/>
  <c r="R11" i="11"/>
  <c r="P11" i="11"/>
  <c r="P12" i="11"/>
  <c r="P13" i="11"/>
  <c r="P14" i="11"/>
  <c r="P15" i="11"/>
  <c r="P16" i="11"/>
  <c r="P17" i="11"/>
  <c r="P18" i="11"/>
  <c r="P19" i="11"/>
  <c r="P20" i="11"/>
  <c r="P21" i="11"/>
  <c r="P22" i="11"/>
  <c r="P23" i="11"/>
  <c r="P24" i="11"/>
  <c r="P25" i="11"/>
  <c r="P26" i="11"/>
  <c r="P27" i="11"/>
  <c r="P28" i="11"/>
  <c r="P29" i="11"/>
  <c r="P30" i="11"/>
  <c r="P31" i="11"/>
  <c r="P32" i="11"/>
  <c r="P33" i="11"/>
  <c r="P34" i="11"/>
  <c r="O21" i="11"/>
  <c r="O23" i="11"/>
  <c r="O24" i="11"/>
  <c r="O25" i="11"/>
  <c r="O26" i="11"/>
  <c r="O27" i="11"/>
  <c r="O28" i="11"/>
  <c r="O29" i="11"/>
  <c r="O30" i="11"/>
  <c r="O31" i="11"/>
  <c r="O32" i="11"/>
  <c r="O33" i="11"/>
  <c r="O34" i="11"/>
  <c r="AA11" i="11"/>
  <c r="R22" i="92" l="1"/>
  <c r="S22" i="92"/>
  <c r="R17" i="92"/>
  <c r="S17" i="92"/>
  <c r="R18" i="92"/>
  <c r="S18" i="92"/>
  <c r="R19" i="92"/>
  <c r="S19" i="92"/>
  <c r="R20" i="92"/>
  <c r="S20" i="92"/>
  <c r="R21" i="92"/>
  <c r="S21" i="92"/>
  <c r="H32" i="17"/>
  <c r="AX32" i="17" s="1"/>
  <c r="AA22" i="11"/>
  <c r="AA21" i="11"/>
  <c r="AA18" i="11"/>
  <c r="AA15" i="11"/>
  <c r="AA20" i="11"/>
  <c r="AA19" i="11"/>
  <c r="AA13" i="11"/>
  <c r="AA14" i="11"/>
  <c r="AA12" i="11"/>
  <c r="B99" i="56" l="1"/>
  <c r="D99" i="56"/>
  <c r="B89" i="56"/>
  <c r="D89" i="56" s="1"/>
  <c r="B90" i="56"/>
  <c r="D90" i="56" s="1"/>
  <c r="B91" i="56"/>
  <c r="D91" i="56" s="1"/>
  <c r="A89" i="56"/>
  <c r="B315" i="71"/>
  <c r="B316" i="71"/>
  <c r="B317" i="71"/>
  <c r="B318" i="71"/>
  <c r="B319" i="71"/>
  <c r="B314" i="71"/>
  <c r="C314" i="71" s="1"/>
  <c r="C315" i="71" s="1"/>
  <c r="C316" i="71" s="1"/>
  <c r="D95" i="67" l="1"/>
  <c r="E95" i="67"/>
  <c r="F95" i="67" s="1"/>
  <c r="D96" i="67"/>
  <c r="E96" i="67"/>
  <c r="F96" i="67" s="1"/>
  <c r="D97" i="67"/>
  <c r="E97" i="67"/>
  <c r="G97" i="67" s="1"/>
  <c r="D98" i="67"/>
  <c r="E98" i="67"/>
  <c r="F98" i="67" s="1"/>
  <c r="D99" i="67"/>
  <c r="E99" i="67"/>
  <c r="F99" i="67" s="1"/>
  <c r="D100" i="67"/>
  <c r="E100" i="67"/>
  <c r="F100" i="67" s="1"/>
  <c r="D47" i="67"/>
  <c r="E47" i="67"/>
  <c r="F47" i="67" s="1"/>
  <c r="D48" i="67"/>
  <c r="E48" i="67"/>
  <c r="F48" i="67" s="1"/>
  <c r="D49" i="67"/>
  <c r="E49" i="67"/>
  <c r="F49" i="67" s="1"/>
  <c r="D50" i="67"/>
  <c r="E50" i="67"/>
  <c r="F50" i="67" s="1"/>
  <c r="D51" i="67"/>
  <c r="E51" i="67"/>
  <c r="F51" i="67" s="1"/>
  <c r="D52" i="67"/>
  <c r="E52" i="67"/>
  <c r="F52" i="67" s="1"/>
  <c r="D72" i="67"/>
  <c r="E72" i="67"/>
  <c r="F72" i="67" s="1"/>
  <c r="D73" i="67"/>
  <c r="E73" i="67"/>
  <c r="F73" i="67" s="1"/>
  <c r="D74" i="67"/>
  <c r="E74" i="67"/>
  <c r="G74" i="67" s="1"/>
  <c r="D75" i="67"/>
  <c r="E75" i="67"/>
  <c r="F75" i="67" s="1"/>
  <c r="D76" i="67"/>
  <c r="E76" i="67"/>
  <c r="F76" i="67" s="1"/>
  <c r="D93" i="67"/>
  <c r="E93" i="67"/>
  <c r="F93" i="67" s="1"/>
  <c r="D94" i="67"/>
  <c r="E94" i="67"/>
  <c r="G94" i="67" s="1"/>
  <c r="D71" i="67"/>
  <c r="E71" i="67"/>
  <c r="F71" i="67" s="1"/>
  <c r="D77" i="67"/>
  <c r="E77" i="67"/>
  <c r="F77" i="67" s="1"/>
  <c r="D78" i="67"/>
  <c r="E78" i="67"/>
  <c r="G78" i="67" s="1"/>
  <c r="D79" i="67"/>
  <c r="E79" i="67"/>
  <c r="F79" i="67" s="1"/>
  <c r="D53" i="67"/>
  <c r="E53" i="67"/>
  <c r="F53" i="67" s="1"/>
  <c r="G100" i="67" l="1"/>
  <c r="G99" i="67"/>
  <c r="F97" i="67"/>
  <c r="G49" i="67"/>
  <c r="G76" i="67"/>
  <c r="G96" i="67"/>
  <c r="G95" i="67"/>
  <c r="G98" i="67"/>
  <c r="G73" i="67"/>
  <c r="G52" i="67"/>
  <c r="G48" i="67"/>
  <c r="F74" i="67"/>
  <c r="G51" i="67"/>
  <c r="G50" i="67"/>
  <c r="G47" i="67"/>
  <c r="G75" i="67"/>
  <c r="G72" i="67"/>
  <c r="F94" i="67"/>
  <c r="G93" i="67"/>
  <c r="F78" i="67"/>
  <c r="G77" i="67"/>
  <c r="G79" i="67"/>
  <c r="G71" i="67"/>
  <c r="G53" i="67"/>
  <c r="B19" i="92"/>
  <c r="B20" i="92"/>
  <c r="B21" i="92"/>
  <c r="B6" i="92"/>
  <c r="B17" i="92" s="1"/>
  <c r="A319" i="71"/>
  <c r="A317" i="71"/>
  <c r="A318" i="71"/>
  <c r="Z42" i="92"/>
  <c r="Z43" i="92"/>
  <c r="Z39" i="92"/>
  <c r="Z40" i="92"/>
  <c r="Z41" i="92"/>
  <c r="Z33" i="92"/>
  <c r="Z34" i="92"/>
  <c r="Z35" i="92"/>
  <c r="Z36" i="92"/>
  <c r="Z37" i="92"/>
  <c r="Z38" i="92"/>
  <c r="Z25" i="92"/>
  <c r="Z26" i="92"/>
  <c r="Z27" i="92"/>
  <c r="Z28" i="92"/>
  <c r="Z29" i="92"/>
  <c r="Z30" i="92"/>
  <c r="Z31" i="92"/>
  <c r="Z32" i="92"/>
  <c r="A309" i="71" l="1"/>
  <c r="A310" i="71"/>
  <c r="A311" i="71"/>
  <c r="D10" i="67"/>
  <c r="A274" i="71"/>
  <c r="A462" i="71" s="1"/>
  <c r="U39" i="17"/>
  <c r="E54" i="67"/>
  <c r="H36" i="17"/>
  <c r="AX36" i="17" s="1"/>
  <c r="E46" i="67" l="1"/>
  <c r="F46" i="67" s="1"/>
  <c r="E92" i="67"/>
  <c r="AA16" i="11"/>
  <c r="G149" i="56"/>
  <c r="G150" i="56"/>
  <c r="G151" i="56"/>
  <c r="G152" i="56"/>
  <c r="G153" i="56"/>
  <c r="G154" i="56"/>
  <c r="G155" i="56"/>
  <c r="G156" i="56"/>
  <c r="G157" i="56"/>
  <c r="G158" i="56"/>
  <c r="G159" i="56"/>
  <c r="G148" i="56"/>
  <c r="F149" i="56"/>
  <c r="F150" i="56"/>
  <c r="F151" i="56"/>
  <c r="F152" i="56"/>
  <c r="F153" i="56"/>
  <c r="F154" i="56"/>
  <c r="F155" i="56"/>
  <c r="F156" i="56"/>
  <c r="F157" i="56"/>
  <c r="F158" i="56"/>
  <c r="F159" i="56"/>
  <c r="F148" i="56"/>
  <c r="E198" i="56"/>
  <c r="E199" i="56"/>
  <c r="E200" i="56"/>
  <c r="E201" i="56"/>
  <c r="E202" i="56"/>
  <c r="E203" i="56"/>
  <c r="E204" i="56"/>
  <c r="E205" i="56"/>
  <c r="E206" i="56"/>
  <c r="E207" i="56"/>
  <c r="E208" i="56"/>
  <c r="E197" i="56"/>
  <c r="E70" i="56"/>
  <c r="D380" i="71"/>
  <c r="E380" i="71"/>
  <c r="F380" i="71"/>
  <c r="G380" i="71"/>
  <c r="H380" i="71"/>
  <c r="I380" i="71"/>
  <c r="J380" i="71"/>
  <c r="K380" i="71"/>
  <c r="L380" i="71"/>
  <c r="M380" i="71"/>
  <c r="N380" i="71"/>
  <c r="O380" i="71"/>
  <c r="P380" i="71"/>
  <c r="Q380" i="71"/>
  <c r="R380" i="71"/>
  <c r="S380" i="71"/>
  <c r="T380" i="71"/>
  <c r="U380" i="71"/>
  <c r="V380" i="71"/>
  <c r="B379" i="71"/>
  <c r="AQ31" i="17"/>
  <c r="AR31" i="17"/>
  <c r="AS31" i="17"/>
  <c r="AT31" i="17"/>
  <c r="AU31" i="17"/>
  <c r="AL34" i="17"/>
  <c r="AM34" i="17"/>
  <c r="AN34" i="17"/>
  <c r="AO34" i="17"/>
  <c r="AP34" i="17"/>
  <c r="AQ34" i="17"/>
  <c r="AR34" i="17"/>
  <c r="AS34" i="17"/>
  <c r="AT34" i="17"/>
  <c r="AU34" i="17"/>
  <c r="AL35" i="17"/>
  <c r="AM35" i="17"/>
  <c r="AN35" i="17"/>
  <c r="AO35" i="17"/>
  <c r="AP35" i="17"/>
  <c r="AQ35" i="17"/>
  <c r="AR35" i="17"/>
  <c r="AS35" i="17"/>
  <c r="AT35" i="17"/>
  <c r="AU35" i="17"/>
  <c r="AQ36" i="17"/>
  <c r="AR36" i="17"/>
  <c r="AS36" i="17"/>
  <c r="AT36" i="17"/>
  <c r="AU36" i="17"/>
  <c r="AQ37" i="17"/>
  <c r="AR37" i="17"/>
  <c r="AS37" i="17"/>
  <c r="AT37" i="17"/>
  <c r="AU37" i="17"/>
  <c r="AL38" i="17"/>
  <c r="AM38" i="17"/>
  <c r="AN38" i="17"/>
  <c r="AO38" i="17"/>
  <c r="AP38" i="17"/>
  <c r="AQ38" i="17"/>
  <c r="AR38" i="17"/>
  <c r="AS38" i="17"/>
  <c r="AT38" i="17"/>
  <c r="AU38" i="17"/>
  <c r="AQ39" i="17"/>
  <c r="AR39" i="17"/>
  <c r="AS39" i="17"/>
  <c r="AT39" i="17"/>
  <c r="AU39" i="17"/>
  <c r="AJ40" i="17"/>
  <c r="AK40" i="17"/>
  <c r="AL40" i="17"/>
  <c r="AM40" i="17"/>
  <c r="AN40" i="17"/>
  <c r="AO40" i="17"/>
  <c r="AP40" i="17"/>
  <c r="AQ40" i="17"/>
  <c r="AR40" i="17"/>
  <c r="AS40" i="17"/>
  <c r="AT40" i="17"/>
  <c r="AU40" i="17"/>
  <c r="AJ41" i="17"/>
  <c r="AK41" i="17"/>
  <c r="AL41" i="17"/>
  <c r="AM41" i="17"/>
  <c r="AN41" i="17"/>
  <c r="AO41" i="17"/>
  <c r="AP41" i="17"/>
  <c r="AQ41" i="17"/>
  <c r="AR41" i="17"/>
  <c r="AS41" i="17"/>
  <c r="AT41" i="17"/>
  <c r="AU41" i="17"/>
  <c r="AQ44" i="17"/>
  <c r="AR44" i="17"/>
  <c r="AS44" i="17"/>
  <c r="AT44" i="17"/>
  <c r="AU44" i="17"/>
  <c r="AB49" i="17"/>
  <c r="AC49" i="17"/>
  <c r="AD49" i="17"/>
  <c r="AE49" i="17"/>
  <c r="AF49" i="17"/>
  <c r="AG49" i="17"/>
  <c r="AH49" i="17"/>
  <c r="AI49" i="17"/>
  <c r="AJ49" i="17"/>
  <c r="AK49" i="17"/>
  <c r="AL49" i="17"/>
  <c r="AM49" i="17"/>
  <c r="AN49" i="17"/>
  <c r="AO49" i="17"/>
  <c r="AP49" i="17"/>
  <c r="AQ49" i="17"/>
  <c r="AR49" i="17"/>
  <c r="AS49" i="17"/>
  <c r="AT49" i="17"/>
  <c r="AU49" i="17"/>
  <c r="AB50" i="17"/>
  <c r="AC50" i="17"/>
  <c r="AD50" i="17"/>
  <c r="AE50" i="17"/>
  <c r="AF50" i="17"/>
  <c r="AG50" i="17"/>
  <c r="AH50" i="17"/>
  <c r="AI50" i="17"/>
  <c r="AJ50" i="17"/>
  <c r="AK50" i="17"/>
  <c r="AL50" i="17"/>
  <c r="AM50" i="17"/>
  <c r="AN50" i="17"/>
  <c r="AO50" i="17"/>
  <c r="AP50" i="17"/>
  <c r="AQ50" i="17"/>
  <c r="AR50" i="17"/>
  <c r="AS50" i="17"/>
  <c r="AT50" i="17"/>
  <c r="AU50" i="17"/>
  <c r="AB51" i="17"/>
  <c r="AC51" i="17"/>
  <c r="AD51" i="17"/>
  <c r="AE51" i="17"/>
  <c r="AF51" i="17"/>
  <c r="AG51" i="17"/>
  <c r="AH51" i="17"/>
  <c r="AI51" i="17"/>
  <c r="AJ51" i="17"/>
  <c r="AK51" i="17"/>
  <c r="AL51" i="17"/>
  <c r="AM51" i="17"/>
  <c r="AN51" i="17"/>
  <c r="AO51" i="17"/>
  <c r="AP51" i="17"/>
  <c r="AQ51" i="17"/>
  <c r="AR51" i="17"/>
  <c r="AS51" i="17"/>
  <c r="AT51" i="17"/>
  <c r="AU51" i="17"/>
  <c r="AB52" i="17"/>
  <c r="AC52" i="17"/>
  <c r="AD52" i="17"/>
  <c r="AE52" i="17"/>
  <c r="AF52" i="17"/>
  <c r="AG52" i="17"/>
  <c r="AH52" i="17"/>
  <c r="AI52" i="17"/>
  <c r="AJ52" i="17"/>
  <c r="AK52" i="17"/>
  <c r="AL52" i="17"/>
  <c r="AM52" i="17"/>
  <c r="AN52" i="17"/>
  <c r="AO52" i="17"/>
  <c r="AP52" i="17"/>
  <c r="AQ52" i="17"/>
  <c r="AR52" i="17"/>
  <c r="AS52" i="17"/>
  <c r="AT52" i="17"/>
  <c r="AU52" i="17"/>
  <c r="AB53" i="17"/>
  <c r="AC53" i="17"/>
  <c r="AD53" i="17"/>
  <c r="AE53" i="17"/>
  <c r="AF53" i="17"/>
  <c r="AG53" i="17"/>
  <c r="AH53" i="17"/>
  <c r="AI53" i="17"/>
  <c r="AJ53" i="17"/>
  <c r="AK53" i="17"/>
  <c r="AL53" i="17"/>
  <c r="AM53" i="17"/>
  <c r="AN53" i="17"/>
  <c r="AO53" i="17"/>
  <c r="AP53" i="17"/>
  <c r="AQ53" i="17"/>
  <c r="AR53" i="17"/>
  <c r="AS53" i="17"/>
  <c r="AT53" i="17"/>
  <c r="AU53" i="17"/>
  <c r="AB54" i="17"/>
  <c r="AC54" i="17"/>
  <c r="AD54" i="17"/>
  <c r="AE54" i="17"/>
  <c r="AF54" i="17"/>
  <c r="AG54" i="17"/>
  <c r="AH54" i="17"/>
  <c r="AI54" i="17"/>
  <c r="AJ54" i="17"/>
  <c r="AK54" i="17"/>
  <c r="AL54" i="17"/>
  <c r="AM54" i="17"/>
  <c r="AN54" i="17"/>
  <c r="AO54" i="17"/>
  <c r="AP54" i="17"/>
  <c r="AQ54" i="17"/>
  <c r="AR54" i="17"/>
  <c r="AS54" i="17"/>
  <c r="AT54" i="17"/>
  <c r="AU54" i="17"/>
  <c r="AB55" i="17"/>
  <c r="AC55" i="17"/>
  <c r="AD55" i="17"/>
  <c r="AE55" i="17"/>
  <c r="AF55" i="17"/>
  <c r="AG55" i="17"/>
  <c r="AH55" i="17"/>
  <c r="AI55" i="17"/>
  <c r="AJ55" i="17"/>
  <c r="AK55" i="17"/>
  <c r="AL55" i="17"/>
  <c r="AM55" i="17"/>
  <c r="AN55" i="17"/>
  <c r="AO55" i="17"/>
  <c r="AP55" i="17"/>
  <c r="AQ55" i="17"/>
  <c r="AR55" i="17"/>
  <c r="AS55" i="17"/>
  <c r="AT55" i="17"/>
  <c r="AU55" i="17"/>
  <c r="AB56" i="17"/>
  <c r="AC56" i="17"/>
  <c r="AD56" i="17"/>
  <c r="AE56" i="17"/>
  <c r="AF56" i="17"/>
  <c r="AG56" i="17"/>
  <c r="AH56" i="17"/>
  <c r="AI56" i="17"/>
  <c r="AJ56" i="17"/>
  <c r="AK56" i="17"/>
  <c r="AL56" i="17"/>
  <c r="AM56" i="17"/>
  <c r="AN56" i="17"/>
  <c r="AO56" i="17"/>
  <c r="AP56" i="17"/>
  <c r="AQ56" i="17"/>
  <c r="AR56" i="17"/>
  <c r="AS56" i="17"/>
  <c r="AT56" i="17"/>
  <c r="AU56" i="17"/>
  <c r="AB57" i="17"/>
  <c r="AC57" i="17"/>
  <c r="AD57" i="17"/>
  <c r="AE57" i="17"/>
  <c r="AF57" i="17"/>
  <c r="AG57" i="17"/>
  <c r="AH57" i="17"/>
  <c r="AI57" i="17"/>
  <c r="AJ57" i="17"/>
  <c r="AK57" i="17"/>
  <c r="AL57" i="17"/>
  <c r="AM57" i="17"/>
  <c r="AN57" i="17"/>
  <c r="AO57" i="17"/>
  <c r="AP57" i="17"/>
  <c r="AQ57" i="17"/>
  <c r="AR57" i="17"/>
  <c r="AS57" i="17"/>
  <c r="AT57" i="17"/>
  <c r="AU57" i="17"/>
  <c r="AB58" i="17"/>
  <c r="AC58" i="17"/>
  <c r="AD58" i="17"/>
  <c r="AE58" i="17"/>
  <c r="AF58" i="17"/>
  <c r="AG58" i="17"/>
  <c r="AH58" i="17"/>
  <c r="AI58" i="17"/>
  <c r="AJ58" i="17"/>
  <c r="AK58" i="17"/>
  <c r="AL58" i="17"/>
  <c r="AM58" i="17"/>
  <c r="AN58" i="17"/>
  <c r="AO58" i="17"/>
  <c r="AP58" i="17"/>
  <c r="AQ58" i="17"/>
  <c r="AR58" i="17"/>
  <c r="AS58" i="17"/>
  <c r="AT58" i="17"/>
  <c r="AU58" i="17"/>
  <c r="AB59" i="17"/>
  <c r="AC59" i="17"/>
  <c r="AD59" i="17"/>
  <c r="AE59" i="17"/>
  <c r="AF59" i="17"/>
  <c r="AG59" i="17"/>
  <c r="AH59" i="17"/>
  <c r="AI59" i="17"/>
  <c r="AJ59" i="17"/>
  <c r="AK59" i="17"/>
  <c r="AL59" i="17"/>
  <c r="AM59" i="17"/>
  <c r="AN59" i="17"/>
  <c r="AO59" i="17"/>
  <c r="AP59" i="17"/>
  <c r="AQ59" i="17"/>
  <c r="AR59" i="17"/>
  <c r="AS59" i="17"/>
  <c r="AT59" i="17"/>
  <c r="AU59" i="17"/>
  <c r="AB60" i="17"/>
  <c r="AC60" i="17"/>
  <c r="AD60" i="17"/>
  <c r="AE60" i="17"/>
  <c r="AF60" i="17"/>
  <c r="AG60" i="17"/>
  <c r="AH60" i="17"/>
  <c r="AI60" i="17"/>
  <c r="AJ60" i="17"/>
  <c r="AK60" i="17"/>
  <c r="AL60" i="17"/>
  <c r="AM60" i="17"/>
  <c r="AN60" i="17"/>
  <c r="AO60" i="17"/>
  <c r="AP60" i="17"/>
  <c r="AQ60" i="17"/>
  <c r="AR60" i="17"/>
  <c r="AS60" i="17"/>
  <c r="AT60" i="17"/>
  <c r="AU60" i="17"/>
  <c r="AB61" i="17"/>
  <c r="AC61" i="17"/>
  <c r="AD61" i="17"/>
  <c r="AE61" i="17"/>
  <c r="AF61" i="17"/>
  <c r="AG61" i="17"/>
  <c r="AH61" i="17"/>
  <c r="AI61" i="17"/>
  <c r="AJ61" i="17"/>
  <c r="AK61" i="17"/>
  <c r="AL61" i="17"/>
  <c r="AM61" i="17"/>
  <c r="AN61" i="17"/>
  <c r="AO61" i="17"/>
  <c r="AP61" i="17"/>
  <c r="AQ61" i="17"/>
  <c r="AR61" i="17"/>
  <c r="AS61" i="17"/>
  <c r="AT61" i="17"/>
  <c r="AU61" i="17"/>
  <c r="AB62" i="17"/>
  <c r="AC62" i="17"/>
  <c r="AD62" i="17"/>
  <c r="AE62" i="17"/>
  <c r="AF62" i="17"/>
  <c r="AG62" i="17"/>
  <c r="AH62" i="17"/>
  <c r="AI62" i="17"/>
  <c r="AJ62" i="17"/>
  <c r="AK62" i="17"/>
  <c r="AL62" i="17"/>
  <c r="AM62" i="17"/>
  <c r="AN62" i="17"/>
  <c r="AO62" i="17"/>
  <c r="AP62" i="17"/>
  <c r="AQ62" i="17"/>
  <c r="AR62" i="17"/>
  <c r="AS62" i="17"/>
  <c r="AT62" i="17"/>
  <c r="AU62" i="17"/>
  <c r="AB63" i="17"/>
  <c r="AC63" i="17"/>
  <c r="AD63" i="17"/>
  <c r="AE63" i="17"/>
  <c r="AF63" i="17"/>
  <c r="AG63" i="17"/>
  <c r="AH63" i="17"/>
  <c r="AI63" i="17"/>
  <c r="AJ63" i="17"/>
  <c r="AK63" i="17"/>
  <c r="AL63" i="17"/>
  <c r="AM63" i="17"/>
  <c r="AN63" i="17"/>
  <c r="AO63" i="17"/>
  <c r="AP63" i="17"/>
  <c r="AQ63" i="17"/>
  <c r="AR63" i="17"/>
  <c r="AS63" i="17"/>
  <c r="AT63" i="17"/>
  <c r="AU63" i="17"/>
  <c r="AB64" i="17"/>
  <c r="AC64" i="17"/>
  <c r="AD64" i="17"/>
  <c r="AE64" i="17"/>
  <c r="AF64" i="17"/>
  <c r="AG64" i="17"/>
  <c r="AH64" i="17"/>
  <c r="AI64" i="17"/>
  <c r="AJ64" i="17"/>
  <c r="AK64" i="17"/>
  <c r="AL64" i="17"/>
  <c r="AM64" i="17"/>
  <c r="AN64" i="17"/>
  <c r="AO64" i="17"/>
  <c r="AP64" i="17"/>
  <c r="AQ64" i="17"/>
  <c r="AR64" i="17"/>
  <c r="AS64" i="17"/>
  <c r="AT64" i="17"/>
  <c r="AU64" i="17"/>
  <c r="AB65" i="17"/>
  <c r="AC65" i="17"/>
  <c r="AD65" i="17"/>
  <c r="AE65" i="17"/>
  <c r="AF65" i="17"/>
  <c r="AG65" i="17"/>
  <c r="AH65" i="17"/>
  <c r="AI65" i="17"/>
  <c r="AJ65" i="17"/>
  <c r="AK65" i="17"/>
  <c r="AL65" i="17"/>
  <c r="AM65" i="17"/>
  <c r="AN65" i="17"/>
  <c r="AO65" i="17"/>
  <c r="AP65" i="17"/>
  <c r="AQ65" i="17"/>
  <c r="AR65" i="17"/>
  <c r="AS65" i="17"/>
  <c r="AT65" i="17"/>
  <c r="AU65" i="17"/>
  <c r="AB66" i="17"/>
  <c r="AC66" i="17"/>
  <c r="AD66" i="17"/>
  <c r="AE66" i="17"/>
  <c r="AF66" i="17"/>
  <c r="AG66" i="17"/>
  <c r="AH66" i="17"/>
  <c r="AI66" i="17"/>
  <c r="AJ66" i="17"/>
  <c r="AK66" i="17"/>
  <c r="AL66" i="17"/>
  <c r="AM66" i="17"/>
  <c r="AN66" i="17"/>
  <c r="AO66" i="17"/>
  <c r="AP66" i="17"/>
  <c r="AQ66" i="17"/>
  <c r="AR66" i="17"/>
  <c r="AS66" i="17"/>
  <c r="AT66" i="17"/>
  <c r="AU66" i="17"/>
  <c r="AB67" i="17"/>
  <c r="AC67" i="17"/>
  <c r="AD67" i="17"/>
  <c r="AE67" i="17"/>
  <c r="AF67" i="17"/>
  <c r="AG67" i="17"/>
  <c r="AH67" i="17"/>
  <c r="AI67" i="17"/>
  <c r="AJ67" i="17"/>
  <c r="AK67" i="17"/>
  <c r="AL67" i="17"/>
  <c r="AM67" i="17"/>
  <c r="AN67" i="17"/>
  <c r="AO67" i="17"/>
  <c r="AP67" i="17"/>
  <c r="AQ67" i="17"/>
  <c r="AR67" i="17"/>
  <c r="AS67" i="17"/>
  <c r="AT67" i="17"/>
  <c r="AU67" i="17"/>
  <c r="G117" i="56"/>
  <c r="B383" i="71"/>
  <c r="C383" i="71" s="1"/>
  <c r="B371" i="71"/>
  <c r="C371" i="71" s="1"/>
  <c r="H399" i="71"/>
  <c r="CH29" i="17"/>
  <c r="CH30" i="17"/>
  <c r="CH31" i="17"/>
  <c r="CH32" i="17"/>
  <c r="CH33" i="17"/>
  <c r="CH34" i="17"/>
  <c r="CH35" i="17"/>
  <c r="E399" i="71" s="1"/>
  <c r="CH36" i="17"/>
  <c r="CH37" i="17"/>
  <c r="CH38" i="17"/>
  <c r="CH39" i="17"/>
  <c r="CH40" i="17"/>
  <c r="CH41" i="17"/>
  <c r="CH42" i="17"/>
  <c r="CH43" i="17"/>
  <c r="CH44" i="17"/>
  <c r="CH45" i="17"/>
  <c r="CH46" i="17"/>
  <c r="CH47" i="17"/>
  <c r="CH48" i="17"/>
  <c r="CH49" i="17"/>
  <c r="CH50" i="17"/>
  <c r="CH51" i="17"/>
  <c r="CH52" i="17"/>
  <c r="CH53" i="17"/>
  <c r="CH54" i="17"/>
  <c r="CH55" i="17"/>
  <c r="CH56" i="17"/>
  <c r="CH57" i="17"/>
  <c r="CH58" i="17"/>
  <c r="CH59" i="17"/>
  <c r="CH60" i="17"/>
  <c r="CH61" i="17"/>
  <c r="CH62" i="17"/>
  <c r="CH63" i="17"/>
  <c r="CH64" i="17"/>
  <c r="CH65" i="17"/>
  <c r="CH66" i="17"/>
  <c r="CH67" i="17"/>
  <c r="CH28" i="17"/>
  <c r="B241" i="56"/>
  <c r="A93" i="56"/>
  <c r="CK29" i="17"/>
  <c r="CK30" i="17"/>
  <c r="CK31" i="17"/>
  <c r="CK32" i="17"/>
  <c r="CK33" i="17"/>
  <c r="CK34" i="17"/>
  <c r="CK35" i="17"/>
  <c r="CK36" i="17"/>
  <c r="CK37" i="17"/>
  <c r="CK38" i="17"/>
  <c r="CK39" i="17"/>
  <c r="CK40" i="17"/>
  <c r="CK41" i="17"/>
  <c r="CK42" i="17"/>
  <c r="CK43" i="17"/>
  <c r="CK44" i="17"/>
  <c r="CK45" i="17"/>
  <c r="CK46" i="17"/>
  <c r="CK47" i="17"/>
  <c r="CK48" i="17"/>
  <c r="CK49" i="17"/>
  <c r="CK50" i="17"/>
  <c r="CK51" i="17"/>
  <c r="CK52" i="17"/>
  <c r="CK53" i="17"/>
  <c r="CK54" i="17"/>
  <c r="CK55" i="17"/>
  <c r="CK56" i="17"/>
  <c r="CK57" i="17"/>
  <c r="CK58" i="17"/>
  <c r="CK59" i="17"/>
  <c r="CK60" i="17"/>
  <c r="CK61" i="17"/>
  <c r="CK62" i="17"/>
  <c r="CK63" i="17"/>
  <c r="CK64" i="17"/>
  <c r="CK65" i="17"/>
  <c r="CK66" i="17"/>
  <c r="CK67" i="17"/>
  <c r="CK28" i="17"/>
  <c r="CI29" i="17"/>
  <c r="CI30" i="17"/>
  <c r="CI31" i="17"/>
  <c r="CI32" i="17"/>
  <c r="CI33" i="17"/>
  <c r="CI37" i="17"/>
  <c r="CI38" i="17"/>
  <c r="CI40" i="17"/>
  <c r="CI41" i="17"/>
  <c r="CI42" i="17"/>
  <c r="CI43"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28" i="17"/>
  <c r="CJ32" i="17"/>
  <c r="CJ33" i="17"/>
  <c r="CJ42" i="17"/>
  <c r="CJ43" i="17"/>
  <c r="CJ45" i="17"/>
  <c r="CJ47" i="17"/>
  <c r="CJ48" i="17"/>
  <c r="CJ49" i="17"/>
  <c r="CJ50" i="17"/>
  <c r="CJ51" i="17"/>
  <c r="CJ52" i="17"/>
  <c r="CJ53" i="17"/>
  <c r="CJ54" i="17"/>
  <c r="CJ55" i="17"/>
  <c r="CJ56" i="17"/>
  <c r="CJ57" i="17"/>
  <c r="CJ58" i="17"/>
  <c r="CJ59" i="17"/>
  <c r="CJ60" i="17"/>
  <c r="CJ61" i="17"/>
  <c r="CJ62" i="17"/>
  <c r="CJ63" i="17"/>
  <c r="CJ64" i="17"/>
  <c r="CJ65" i="17"/>
  <c r="CJ66" i="17"/>
  <c r="CJ67" i="17"/>
  <c r="CJ28" i="17"/>
  <c r="A394" i="71"/>
  <c r="A401" i="71" s="1"/>
  <c r="A395" i="71"/>
  <c r="A402" i="71" s="1"/>
  <c r="A396" i="71"/>
  <c r="A403" i="71" s="1"/>
  <c r="C406" i="71"/>
  <c r="B406" i="71" s="1"/>
  <c r="B413" i="71" s="1"/>
  <c r="C379" i="71" l="1"/>
  <c r="C380" i="71" s="1"/>
  <c r="G46" i="67"/>
  <c r="B380" i="71"/>
  <c r="D399" i="71"/>
  <c r="C399" i="71"/>
  <c r="G399" i="71"/>
  <c r="F399" i="71"/>
  <c r="B119" i="71"/>
  <c r="B76" i="71"/>
  <c r="B77" i="71"/>
  <c r="B75" i="71"/>
  <c r="A454" i="71"/>
  <c r="A455" i="71"/>
  <c r="A456" i="71"/>
  <c r="X399" i="71" l="1"/>
  <c r="BV28" i="17"/>
  <c r="AX10" i="11"/>
  <c r="A325" i="71"/>
  <c r="A333" i="71" s="1"/>
  <c r="A341" i="71" s="1"/>
  <c r="A349" i="71" s="1"/>
  <c r="A357" i="71" s="1"/>
  <c r="A326" i="71"/>
  <c r="A334" i="71" s="1"/>
  <c r="A342" i="71" s="1"/>
  <c r="A350" i="71" s="1"/>
  <c r="A358" i="71" s="1"/>
  <c r="A327" i="71"/>
  <c r="A335" i="71" s="1"/>
  <c r="A343" i="71" s="1"/>
  <c r="A351" i="71" s="1"/>
  <c r="A359" i="71" s="1"/>
  <c r="BX29" i="17"/>
  <c r="BX30" i="17"/>
  <c r="BX31" i="17"/>
  <c r="CB31" i="17" s="1"/>
  <c r="BX32" i="17"/>
  <c r="CF32" i="17" s="1"/>
  <c r="BX33" i="17"/>
  <c r="CB33" i="17" s="1"/>
  <c r="BX34" i="17"/>
  <c r="CB34" i="17" s="1"/>
  <c r="BX35" i="17"/>
  <c r="CB35" i="17" s="1"/>
  <c r="BX36" i="17"/>
  <c r="CF36" i="17" s="1"/>
  <c r="BX37" i="17"/>
  <c r="CB37" i="17" s="1"/>
  <c r="BX38" i="17"/>
  <c r="CB38" i="17" s="1"/>
  <c r="BX39" i="17"/>
  <c r="CB39" i="17" s="1"/>
  <c r="BX40" i="17"/>
  <c r="CB40" i="17" s="1"/>
  <c r="BX41" i="17"/>
  <c r="CF41" i="17" s="1"/>
  <c r="BX42" i="17"/>
  <c r="CF42" i="17" s="1"/>
  <c r="BX43" i="17"/>
  <c r="CF43" i="17" s="1"/>
  <c r="BX44" i="17"/>
  <c r="CF44" i="17" s="1"/>
  <c r="BX45" i="17"/>
  <c r="CB45" i="17" s="1"/>
  <c r="BX46" i="17"/>
  <c r="CB46" i="17" s="1"/>
  <c r="BX47" i="17"/>
  <c r="CF47" i="17" s="1"/>
  <c r="BX48" i="17"/>
  <c r="CF48" i="17" s="1"/>
  <c r="BX49" i="17"/>
  <c r="CF49" i="17" s="1"/>
  <c r="BX50" i="17"/>
  <c r="CB50" i="17" s="1"/>
  <c r="BX51" i="17"/>
  <c r="CB51" i="17" s="1"/>
  <c r="BX52" i="17"/>
  <c r="CB52" i="17" s="1"/>
  <c r="BX53" i="17"/>
  <c r="CF53" i="17" s="1"/>
  <c r="BX54" i="17"/>
  <c r="CF54" i="17" s="1"/>
  <c r="BX55" i="17"/>
  <c r="CF55" i="17" s="1"/>
  <c r="BX56" i="17"/>
  <c r="CF56" i="17" s="1"/>
  <c r="BX57" i="17"/>
  <c r="CB57" i="17" s="1"/>
  <c r="BX58" i="17"/>
  <c r="CB58" i="17" s="1"/>
  <c r="BX59" i="17"/>
  <c r="CB59" i="17" s="1"/>
  <c r="BX60" i="17"/>
  <c r="CF60" i="17" s="1"/>
  <c r="BX61" i="17"/>
  <c r="CF61" i="17" s="1"/>
  <c r="BX62" i="17"/>
  <c r="CB62" i="17" s="1"/>
  <c r="BX63" i="17"/>
  <c r="CB63" i="17" s="1"/>
  <c r="BX64" i="17"/>
  <c r="CB64" i="17" s="1"/>
  <c r="BX65" i="17"/>
  <c r="CF65" i="17" s="1"/>
  <c r="BX66" i="17"/>
  <c r="CF66" i="17" s="1"/>
  <c r="BX67" i="17"/>
  <c r="CB67" i="17" s="1"/>
  <c r="BX28" i="17"/>
  <c r="CF28" i="17" s="1"/>
  <c r="BW29" i="17"/>
  <c r="BW30" i="17"/>
  <c r="CA30" i="17" s="1"/>
  <c r="BW31" i="17"/>
  <c r="CA31" i="17" s="1"/>
  <c r="BW32" i="17"/>
  <c r="CE32" i="17" s="1"/>
  <c r="BW33" i="17"/>
  <c r="CA33" i="17" s="1"/>
  <c r="BW34" i="17"/>
  <c r="CA34" i="17" s="1"/>
  <c r="BW35" i="17"/>
  <c r="CA35" i="17" s="1"/>
  <c r="BW36" i="17"/>
  <c r="CA36" i="17" s="1"/>
  <c r="BW37" i="17"/>
  <c r="CA37" i="17" s="1"/>
  <c r="BW38" i="17"/>
  <c r="CE38" i="17" s="1"/>
  <c r="BW39" i="17"/>
  <c r="CE39" i="17" s="1"/>
  <c r="BW40" i="17"/>
  <c r="CE40" i="17" s="1"/>
  <c r="BW41" i="17"/>
  <c r="CA41" i="17" s="1"/>
  <c r="BW42" i="17"/>
  <c r="CA42" i="17" s="1"/>
  <c r="BW43" i="17"/>
  <c r="CE43" i="17" s="1"/>
  <c r="BW44" i="17"/>
  <c r="CE44" i="17" s="1"/>
  <c r="BW45" i="17"/>
  <c r="CE45" i="17" s="1"/>
  <c r="BW46" i="17"/>
  <c r="CA46" i="17" s="1"/>
  <c r="BW47" i="17"/>
  <c r="CA47" i="17" s="1"/>
  <c r="BW48" i="17"/>
  <c r="CA48" i="17" s="1"/>
  <c r="BW49" i="17"/>
  <c r="CA49" i="17" s="1"/>
  <c r="BW50" i="17"/>
  <c r="CE50" i="17" s="1"/>
  <c r="BW51" i="17"/>
  <c r="CE51" i="17" s="1"/>
  <c r="BW52" i="17"/>
  <c r="CE52" i="17" s="1"/>
  <c r="BW53" i="17"/>
  <c r="CA53" i="17" s="1"/>
  <c r="BW54" i="17"/>
  <c r="CA54" i="17" s="1"/>
  <c r="BW55" i="17"/>
  <c r="CA55" i="17" s="1"/>
  <c r="BW56" i="17"/>
  <c r="CE56" i="17" s="1"/>
  <c r="BW57" i="17"/>
  <c r="CA57" i="17" s="1"/>
  <c r="BW58" i="17"/>
  <c r="CA58" i="17" s="1"/>
  <c r="BW59" i="17"/>
  <c r="CA59" i="17" s="1"/>
  <c r="BW60" i="17"/>
  <c r="CA60" i="17" s="1"/>
  <c r="BW61" i="17"/>
  <c r="CA61" i="17" s="1"/>
  <c r="BW62" i="17"/>
  <c r="CE62" i="17" s="1"/>
  <c r="BW63" i="17"/>
  <c r="CE63" i="17" s="1"/>
  <c r="BW64" i="17"/>
  <c r="CE64" i="17" s="1"/>
  <c r="BW65" i="17"/>
  <c r="CA65" i="17" s="1"/>
  <c r="BW66" i="17"/>
  <c r="CE66" i="17" s="1"/>
  <c r="BW67" i="17"/>
  <c r="CA67" i="17" s="1"/>
  <c r="BW28" i="17"/>
  <c r="CE28" i="17" s="1"/>
  <c r="BV29" i="17"/>
  <c r="BV30" i="17"/>
  <c r="BV31" i="17"/>
  <c r="BZ31" i="17" s="1"/>
  <c r="BV32" i="17"/>
  <c r="BZ32" i="17" s="1"/>
  <c r="BV33" i="17"/>
  <c r="CD33" i="17" s="1"/>
  <c r="BV34" i="17"/>
  <c r="CD34" i="17" s="1"/>
  <c r="BV35" i="17"/>
  <c r="CD35" i="17" s="1"/>
  <c r="BV36" i="17"/>
  <c r="CD36" i="17" s="1"/>
  <c r="BV37" i="17"/>
  <c r="BZ37" i="17" s="1"/>
  <c r="BV38" i="17"/>
  <c r="BZ38" i="17" s="1"/>
  <c r="BV39" i="17"/>
  <c r="CD39" i="17" s="1"/>
  <c r="BV40" i="17"/>
  <c r="BZ40" i="17" s="1"/>
  <c r="BV41" i="17"/>
  <c r="BZ41" i="17" s="1"/>
  <c r="BV42" i="17"/>
  <c r="BZ42" i="17" s="1"/>
  <c r="BV43" i="17"/>
  <c r="BZ43" i="17" s="1"/>
  <c r="BV44" i="17"/>
  <c r="BZ44" i="17" s="1"/>
  <c r="BV45" i="17"/>
  <c r="CD45" i="17" s="1"/>
  <c r="BV46" i="17"/>
  <c r="CD46" i="17" s="1"/>
  <c r="BV47" i="17"/>
  <c r="CD47" i="17" s="1"/>
  <c r="BV48" i="17"/>
  <c r="CD48" i="17" s="1"/>
  <c r="BV49" i="17"/>
  <c r="BZ49" i="17" s="1"/>
  <c r="BV50" i="17"/>
  <c r="BZ50" i="17" s="1"/>
  <c r="BV51" i="17"/>
  <c r="CD51" i="17" s="1"/>
  <c r="BV52" i="17"/>
  <c r="CD52" i="17" s="1"/>
  <c r="BV53" i="17"/>
  <c r="BZ53" i="17" s="1"/>
  <c r="BV54" i="17"/>
  <c r="BZ54" i="17" s="1"/>
  <c r="BV55" i="17"/>
  <c r="BZ55" i="17" s="1"/>
  <c r="BV56" i="17"/>
  <c r="BZ56" i="17" s="1"/>
  <c r="BV57" i="17"/>
  <c r="CD57" i="17" s="1"/>
  <c r="BV58" i="17"/>
  <c r="CD58" i="17" s="1"/>
  <c r="BV59" i="17"/>
  <c r="CD59" i="17" s="1"/>
  <c r="BV60" i="17"/>
  <c r="CD60" i="17" s="1"/>
  <c r="BV61" i="17"/>
  <c r="BZ61" i="17" s="1"/>
  <c r="BV62" i="17"/>
  <c r="BZ62" i="17" s="1"/>
  <c r="BV63" i="17"/>
  <c r="BZ63" i="17" s="1"/>
  <c r="BV64" i="17"/>
  <c r="BZ64" i="17" s="1"/>
  <c r="BV65" i="17"/>
  <c r="CD65" i="17" s="1"/>
  <c r="BV66" i="17"/>
  <c r="CD66" i="17" s="1"/>
  <c r="BV67" i="17"/>
  <c r="BZ67" i="17" s="1"/>
  <c r="BU29" i="17"/>
  <c r="CC29" i="17" s="1"/>
  <c r="BU30" i="17"/>
  <c r="CC30" i="17" s="1"/>
  <c r="BU31" i="17"/>
  <c r="CC31" i="17" s="1"/>
  <c r="BU32" i="17"/>
  <c r="CC32" i="17" s="1"/>
  <c r="BU33" i="17"/>
  <c r="CC33" i="17" s="1"/>
  <c r="BU34" i="17"/>
  <c r="CC34" i="17" s="1"/>
  <c r="BU35" i="17"/>
  <c r="CC35" i="17" s="1"/>
  <c r="BU36" i="17"/>
  <c r="CC36" i="17" s="1"/>
  <c r="BU37" i="17"/>
  <c r="CC37" i="17" s="1"/>
  <c r="BU38" i="17"/>
  <c r="CC38" i="17" s="1"/>
  <c r="BU39" i="17"/>
  <c r="CC39" i="17" s="1"/>
  <c r="BU40" i="17"/>
  <c r="CC40" i="17" s="1"/>
  <c r="BU41" i="17"/>
  <c r="CC41" i="17" s="1"/>
  <c r="BU42" i="17"/>
  <c r="CC42" i="17" s="1"/>
  <c r="BU43" i="17"/>
  <c r="CC43" i="17" s="1"/>
  <c r="BU44" i="17"/>
  <c r="CC44" i="17" s="1"/>
  <c r="BU45" i="17"/>
  <c r="CC45" i="17" s="1"/>
  <c r="BU46" i="17"/>
  <c r="CC46" i="17" s="1"/>
  <c r="BU47" i="17"/>
  <c r="CC47" i="17" s="1"/>
  <c r="BU48" i="17"/>
  <c r="CC48" i="17" s="1"/>
  <c r="BU49" i="17"/>
  <c r="CC49" i="17" s="1"/>
  <c r="BU50" i="17"/>
  <c r="CC50" i="17" s="1"/>
  <c r="BU51" i="17"/>
  <c r="CC51" i="17" s="1"/>
  <c r="BU52" i="17"/>
  <c r="CC52" i="17" s="1"/>
  <c r="BU53" i="17"/>
  <c r="CC53" i="17" s="1"/>
  <c r="BU54" i="17"/>
  <c r="CC54" i="17" s="1"/>
  <c r="BU55" i="17"/>
  <c r="CC55" i="17" s="1"/>
  <c r="BU56" i="17"/>
  <c r="CC56" i="17" s="1"/>
  <c r="BU57" i="17"/>
  <c r="CC57" i="17" s="1"/>
  <c r="BU58" i="17"/>
  <c r="CC58" i="17" s="1"/>
  <c r="BU59" i="17"/>
  <c r="CC59" i="17" s="1"/>
  <c r="BU60" i="17"/>
  <c r="CC60" i="17" s="1"/>
  <c r="BU61" i="17"/>
  <c r="CC61" i="17" s="1"/>
  <c r="BU62" i="17"/>
  <c r="CC62" i="17" s="1"/>
  <c r="BU63" i="17"/>
  <c r="CC63" i="17" s="1"/>
  <c r="BU64" i="17"/>
  <c r="CC64" i="17" s="1"/>
  <c r="BU65" i="17"/>
  <c r="CC65" i="17" s="1"/>
  <c r="BU66" i="17"/>
  <c r="CC66" i="17" s="1"/>
  <c r="BU67" i="17"/>
  <c r="CC67" i="17" s="1"/>
  <c r="CC28" i="17"/>
  <c r="C411" i="71"/>
  <c r="C237" i="71" s="1"/>
  <c r="D206" i="71"/>
  <c r="E206" i="71"/>
  <c r="G206" i="71"/>
  <c r="H206" i="71"/>
  <c r="J206" i="71"/>
  <c r="K206" i="71"/>
  <c r="L206" i="71"/>
  <c r="N206" i="71"/>
  <c r="O206" i="71"/>
  <c r="P206" i="71"/>
  <c r="Q206" i="71"/>
  <c r="R206" i="71"/>
  <c r="S206" i="71"/>
  <c r="T206" i="71"/>
  <c r="U206" i="71"/>
  <c r="D205" i="71"/>
  <c r="E205" i="71"/>
  <c r="G205" i="71"/>
  <c r="H205" i="71"/>
  <c r="J205" i="71"/>
  <c r="K205" i="71"/>
  <c r="L205" i="71"/>
  <c r="N205" i="71"/>
  <c r="O205" i="71"/>
  <c r="P205" i="71"/>
  <c r="Q205" i="71"/>
  <c r="R205" i="71"/>
  <c r="S205" i="71"/>
  <c r="T205" i="71"/>
  <c r="U205" i="71"/>
  <c r="D163" i="71"/>
  <c r="E163" i="71"/>
  <c r="G163" i="71"/>
  <c r="H163" i="71"/>
  <c r="I163" i="71"/>
  <c r="J163" i="71"/>
  <c r="N163" i="71"/>
  <c r="O163" i="71"/>
  <c r="P163" i="71"/>
  <c r="Q163" i="71"/>
  <c r="R163" i="71"/>
  <c r="S163" i="71"/>
  <c r="T163" i="71"/>
  <c r="U163" i="71"/>
  <c r="D162" i="71"/>
  <c r="E162" i="71"/>
  <c r="G162" i="71"/>
  <c r="H162" i="71"/>
  <c r="I162" i="71"/>
  <c r="J162" i="71"/>
  <c r="N162" i="71"/>
  <c r="O162" i="71"/>
  <c r="P162" i="71"/>
  <c r="Q162" i="71"/>
  <c r="R162" i="71"/>
  <c r="S162" i="71"/>
  <c r="T162" i="71"/>
  <c r="U162" i="71"/>
  <c r="B120" i="71"/>
  <c r="B118" i="71"/>
  <c r="E118" i="71"/>
  <c r="F118" i="71"/>
  <c r="G118" i="71"/>
  <c r="I118" i="71"/>
  <c r="J118" i="71"/>
  <c r="K118" i="71"/>
  <c r="L118" i="71"/>
  <c r="M118" i="71"/>
  <c r="N118" i="71"/>
  <c r="O118" i="71"/>
  <c r="P118" i="71"/>
  <c r="Q118" i="71"/>
  <c r="R118" i="71"/>
  <c r="S118" i="71"/>
  <c r="T118" i="71"/>
  <c r="U118" i="71"/>
  <c r="E75" i="71"/>
  <c r="F75" i="71"/>
  <c r="G75" i="71"/>
  <c r="I75" i="71"/>
  <c r="J75" i="71"/>
  <c r="K75" i="71"/>
  <c r="L75" i="71"/>
  <c r="M75" i="71"/>
  <c r="N75" i="71"/>
  <c r="O75" i="71"/>
  <c r="P75" i="71"/>
  <c r="Q75" i="71"/>
  <c r="R75" i="71"/>
  <c r="S75" i="71"/>
  <c r="T75" i="71"/>
  <c r="U75" i="71"/>
  <c r="B31" i="71"/>
  <c r="B33" i="71"/>
  <c r="E32" i="71"/>
  <c r="F32" i="71"/>
  <c r="G32" i="71"/>
  <c r="I32" i="71"/>
  <c r="J32" i="71"/>
  <c r="K32" i="71"/>
  <c r="L32" i="71"/>
  <c r="M32" i="71"/>
  <c r="N32" i="71"/>
  <c r="O32" i="71"/>
  <c r="P32" i="71"/>
  <c r="Q32" i="71"/>
  <c r="R32" i="71"/>
  <c r="S32" i="71"/>
  <c r="T32" i="71"/>
  <c r="U32" i="71"/>
  <c r="B32" i="71"/>
  <c r="B27" i="71"/>
  <c r="B6" i="71"/>
  <c r="G33" i="71" s="1"/>
  <c r="E31" i="71"/>
  <c r="E27" i="71"/>
  <c r="E28" i="71"/>
  <c r="D27" i="71"/>
  <c r="C27" i="71"/>
  <c r="F31" i="71"/>
  <c r="G31" i="71"/>
  <c r="I31" i="71"/>
  <c r="J31" i="71"/>
  <c r="K31" i="71"/>
  <c r="L31" i="71"/>
  <c r="M31" i="71"/>
  <c r="N31" i="71"/>
  <c r="O31" i="71"/>
  <c r="P31" i="71"/>
  <c r="Q31" i="71"/>
  <c r="R31" i="71"/>
  <c r="S31" i="71"/>
  <c r="T31" i="71"/>
  <c r="U31" i="71"/>
  <c r="B411" i="56"/>
  <c r="M415" i="56" s="1"/>
  <c r="C411" i="56"/>
  <c r="E69" i="56"/>
  <c r="B69" i="56" s="1"/>
  <c r="S28" i="92" s="1"/>
  <c r="B397" i="56"/>
  <c r="B428" i="56"/>
  <c r="B15" i="71" s="1"/>
  <c r="B100" i="71" s="1"/>
  <c r="E62" i="56"/>
  <c r="B62" i="56" s="1"/>
  <c r="S14" i="92" s="1"/>
  <c r="B70" i="56"/>
  <c r="S29" i="92" s="1"/>
  <c r="S16" i="92"/>
  <c r="E71" i="56"/>
  <c r="B54" i="56" s="1"/>
  <c r="S8" i="92" s="1"/>
  <c r="E72" i="56"/>
  <c r="B388" i="56" s="1"/>
  <c r="E73" i="56"/>
  <c r="B389" i="56" s="1"/>
  <c r="E74" i="56"/>
  <c r="B390" i="56" s="1"/>
  <c r="D411" i="56"/>
  <c r="E411" i="56"/>
  <c r="F411" i="56"/>
  <c r="F27" i="71"/>
  <c r="F28" i="71"/>
  <c r="G411" i="56"/>
  <c r="G27" i="71"/>
  <c r="G28" i="71"/>
  <c r="H411" i="56"/>
  <c r="H27" i="71"/>
  <c r="I411" i="56"/>
  <c r="I27" i="71"/>
  <c r="J411" i="56"/>
  <c r="J27" i="71"/>
  <c r="J28" i="71"/>
  <c r="K411" i="56"/>
  <c r="K27" i="71"/>
  <c r="K28" i="71"/>
  <c r="L411" i="56"/>
  <c r="L27" i="71"/>
  <c r="L28" i="71"/>
  <c r="M411" i="56"/>
  <c r="M27" i="71"/>
  <c r="N411" i="56"/>
  <c r="N27" i="71"/>
  <c r="O411" i="56"/>
  <c r="O27" i="71"/>
  <c r="O28" i="71"/>
  <c r="P411" i="56"/>
  <c r="P27" i="71"/>
  <c r="Q411" i="56"/>
  <c r="Q27" i="71"/>
  <c r="R411" i="56"/>
  <c r="R27" i="71"/>
  <c r="S411" i="56"/>
  <c r="S27" i="71"/>
  <c r="T411" i="56"/>
  <c r="T27" i="71"/>
  <c r="T28" i="71"/>
  <c r="U411" i="56"/>
  <c r="U27" i="71"/>
  <c r="D71" i="71"/>
  <c r="B426" i="71"/>
  <c r="C426" i="71" s="1"/>
  <c r="D426" i="71" s="1"/>
  <c r="B474" i="71"/>
  <c r="C474" i="71" s="1"/>
  <c r="E71" i="71"/>
  <c r="F71" i="71"/>
  <c r="B66" i="71"/>
  <c r="B71" i="71"/>
  <c r="C71" i="71"/>
  <c r="Z11" i="11"/>
  <c r="AF11" i="11" s="1"/>
  <c r="AE11" i="11" s="1"/>
  <c r="Z12" i="11"/>
  <c r="AF12" i="11" s="1"/>
  <c r="AE12" i="11" s="1"/>
  <c r="Z13" i="11"/>
  <c r="AF13" i="11" s="1"/>
  <c r="AE13" i="11" s="1"/>
  <c r="Z14" i="11"/>
  <c r="AF14" i="11" s="1"/>
  <c r="AE14" i="11" s="1"/>
  <c r="Z15" i="11"/>
  <c r="AF15" i="11" s="1"/>
  <c r="AE15" i="11" s="1"/>
  <c r="Z16" i="11"/>
  <c r="AF16" i="11" s="1"/>
  <c r="AE16" i="11" s="1"/>
  <c r="Z17" i="11"/>
  <c r="AF17" i="11" s="1"/>
  <c r="AE17" i="11" s="1"/>
  <c r="Z18" i="11"/>
  <c r="AF18" i="11" s="1"/>
  <c r="AE18" i="11" s="1"/>
  <c r="Z19" i="11"/>
  <c r="AF19" i="11" s="1"/>
  <c r="AE19" i="11" s="1"/>
  <c r="Z20" i="11"/>
  <c r="AF20" i="11" s="1"/>
  <c r="AE20" i="11" s="1"/>
  <c r="Z21" i="11"/>
  <c r="AF21" i="11" s="1"/>
  <c r="AE21" i="11" s="1"/>
  <c r="Z22" i="11"/>
  <c r="AF22" i="11" s="1"/>
  <c r="AE22" i="11" s="1"/>
  <c r="Z23" i="11"/>
  <c r="AF23" i="11" s="1"/>
  <c r="AE23" i="11" s="1"/>
  <c r="Z24" i="11"/>
  <c r="AF24" i="11" s="1"/>
  <c r="AE24" i="11" s="1"/>
  <c r="Z25" i="11"/>
  <c r="AF25" i="11" s="1"/>
  <c r="AE25" i="11" s="1"/>
  <c r="Z26" i="11"/>
  <c r="AF26" i="11" s="1"/>
  <c r="AE26" i="11" s="1"/>
  <c r="Z27" i="11"/>
  <c r="AF27" i="11" s="1"/>
  <c r="AE27" i="11" s="1"/>
  <c r="Z28" i="11"/>
  <c r="AF28" i="11" s="1"/>
  <c r="AE28" i="11" s="1"/>
  <c r="Z29" i="11"/>
  <c r="AF29" i="11" s="1"/>
  <c r="AE29" i="11" s="1"/>
  <c r="Z30" i="11"/>
  <c r="AF30" i="11" s="1"/>
  <c r="AE30" i="11" s="1"/>
  <c r="Z31" i="11"/>
  <c r="AF31" i="11" s="1"/>
  <c r="AE31" i="11" s="1"/>
  <c r="Z32" i="11"/>
  <c r="AF32" i="11" s="1"/>
  <c r="AE32" i="11" s="1"/>
  <c r="Z33" i="11"/>
  <c r="AF33" i="11" s="1"/>
  <c r="AE33" i="11" s="1"/>
  <c r="Z34" i="11"/>
  <c r="AF34" i="11" s="1"/>
  <c r="AE34" i="11" s="1"/>
  <c r="A283" i="71"/>
  <c r="A93" i="71" a="1"/>
  <c r="A93" i="71" s="1"/>
  <c r="A272" i="71" s="1"/>
  <c r="A50" i="71" a="1"/>
  <c r="A50" i="71" s="1"/>
  <c r="A270" i="71" s="1"/>
  <c r="Z57" i="17"/>
  <c r="U57" i="17"/>
  <c r="AA57" i="17" s="1"/>
  <c r="AW57" i="17"/>
  <c r="Z58" i="17"/>
  <c r="U58" i="17"/>
  <c r="AA58" i="17" s="1"/>
  <c r="AW58" i="17"/>
  <c r="Z59" i="17"/>
  <c r="U59" i="17"/>
  <c r="AA59" i="17" s="1"/>
  <c r="AW59" i="17"/>
  <c r="Z60" i="17"/>
  <c r="U60" i="17"/>
  <c r="AA60" i="17" s="1"/>
  <c r="AW60" i="17"/>
  <c r="Z61" i="17"/>
  <c r="U61" i="17"/>
  <c r="AA61" i="17" s="1"/>
  <c r="AW61" i="17"/>
  <c r="Z62" i="17"/>
  <c r="U62" i="17"/>
  <c r="AA62" i="17" s="1"/>
  <c r="AW62" i="17"/>
  <c r="Z63" i="17"/>
  <c r="U63" i="17"/>
  <c r="AA63" i="17" s="1"/>
  <c r="AW63" i="17"/>
  <c r="Z64" i="17"/>
  <c r="U64" i="17"/>
  <c r="AA64" i="17" s="1"/>
  <c r="AW64" i="17"/>
  <c r="Z65" i="17"/>
  <c r="U65" i="17"/>
  <c r="AA65" i="17" s="1"/>
  <c r="AW65" i="17"/>
  <c r="Z66" i="17"/>
  <c r="U66" i="17"/>
  <c r="AA66" i="17" s="1"/>
  <c r="AW66" i="17"/>
  <c r="R58" i="17"/>
  <c r="R59" i="17"/>
  <c r="R60" i="17"/>
  <c r="R61" i="17"/>
  <c r="R62" i="17"/>
  <c r="R63" i="17"/>
  <c r="R64" i="17"/>
  <c r="R65" i="17"/>
  <c r="R66" i="17"/>
  <c r="U49" i="17"/>
  <c r="AA49" i="17" s="1"/>
  <c r="I73" i="17"/>
  <c r="U50" i="17"/>
  <c r="AA50" i="17" s="1"/>
  <c r="U51" i="17"/>
  <c r="AA51" i="17" s="1"/>
  <c r="U52" i="17"/>
  <c r="AA52" i="17" s="1"/>
  <c r="U53" i="17"/>
  <c r="AA53" i="17" s="1"/>
  <c r="U54" i="17"/>
  <c r="AA54" i="17" s="1"/>
  <c r="U55" i="17"/>
  <c r="AA55" i="17" s="1"/>
  <c r="U56" i="17"/>
  <c r="AA56" i="17" s="1"/>
  <c r="R49" i="17"/>
  <c r="R50" i="17"/>
  <c r="R51" i="17"/>
  <c r="R52" i="17"/>
  <c r="R53" i="17"/>
  <c r="R54" i="17"/>
  <c r="R55" i="17"/>
  <c r="R56" i="17"/>
  <c r="Z49" i="17"/>
  <c r="AW49" i="17"/>
  <c r="Z50" i="17"/>
  <c r="AW50" i="17"/>
  <c r="Z51" i="17"/>
  <c r="AW51" i="17"/>
  <c r="Z52" i="17"/>
  <c r="AW52" i="17"/>
  <c r="Z53" i="17"/>
  <c r="AW53" i="17"/>
  <c r="Z54" i="17"/>
  <c r="AW54" i="17"/>
  <c r="Z55" i="17"/>
  <c r="AW55" i="17"/>
  <c r="Z56" i="17"/>
  <c r="AW56" i="17"/>
  <c r="F360" i="56"/>
  <c r="F366" i="56"/>
  <c r="C62" i="67"/>
  <c r="C37" i="67"/>
  <c r="C87" i="67"/>
  <c r="W16" i="92"/>
  <c r="B193" i="56"/>
  <c r="D209" i="56"/>
  <c r="B197" i="56"/>
  <c r="B217" i="56"/>
  <c r="B312" i="56"/>
  <c r="D160" i="56"/>
  <c r="D186" i="56"/>
  <c r="E233" i="56"/>
  <c r="D233" i="56"/>
  <c r="E257" i="56"/>
  <c r="D257" i="56"/>
  <c r="E281" i="56"/>
  <c r="D281" i="56"/>
  <c r="E305" i="56"/>
  <c r="D305" i="56"/>
  <c r="E328" i="56"/>
  <c r="D328" i="56"/>
  <c r="D15" i="67"/>
  <c r="I76" i="17"/>
  <c r="D109" i="71"/>
  <c r="E64" i="56"/>
  <c r="B53" i="56" s="1"/>
  <c r="E68" i="56"/>
  <c r="B68" i="56" s="1"/>
  <c r="S27" i="92" s="1"/>
  <c r="D114" i="71"/>
  <c r="B144" i="56"/>
  <c r="B148" i="56"/>
  <c r="A149" i="56" s="1"/>
  <c r="B149" i="56" s="1"/>
  <c r="B170" i="56"/>
  <c r="C174" i="56"/>
  <c r="B117" i="56"/>
  <c r="W18" i="92" s="1"/>
  <c r="E109" i="71"/>
  <c r="E114" i="71"/>
  <c r="F109" i="71"/>
  <c r="F114" i="71"/>
  <c r="C109" i="71"/>
  <c r="C114" i="71"/>
  <c r="E15" i="67"/>
  <c r="G15" i="67" s="1"/>
  <c r="E16" i="67"/>
  <c r="G16" i="67" s="1"/>
  <c r="B108" i="71"/>
  <c r="B109" i="71"/>
  <c r="B114" i="71"/>
  <c r="I74" i="17"/>
  <c r="F68" i="17"/>
  <c r="D57" i="67"/>
  <c r="U28" i="17"/>
  <c r="AA28" i="17" s="1"/>
  <c r="U44" i="17"/>
  <c r="AA44" i="17" s="1"/>
  <c r="C157" i="71"/>
  <c r="D157" i="71"/>
  <c r="E158" i="71"/>
  <c r="E159" i="71"/>
  <c r="E157" i="71"/>
  <c r="U46" i="17"/>
  <c r="AA46" i="17" s="1"/>
  <c r="U33" i="17"/>
  <c r="AA33" i="17" s="1"/>
  <c r="U45" i="17"/>
  <c r="AA45" i="17" s="1"/>
  <c r="F157" i="71"/>
  <c r="U37" i="17"/>
  <c r="E91" i="67" s="1"/>
  <c r="E104" i="67"/>
  <c r="U30" i="17"/>
  <c r="U31" i="17"/>
  <c r="U32" i="17"/>
  <c r="B421" i="71" s="1"/>
  <c r="U43" i="17"/>
  <c r="AA43" i="17" s="1"/>
  <c r="E56" i="67"/>
  <c r="F56" i="67" s="1"/>
  <c r="E57" i="67"/>
  <c r="G57" i="67" s="1"/>
  <c r="B151" i="71"/>
  <c r="B157" i="71"/>
  <c r="B152" i="71"/>
  <c r="U36" i="17"/>
  <c r="AA36" i="17" s="1"/>
  <c r="C200" i="71"/>
  <c r="D201" i="71"/>
  <c r="D202" i="71"/>
  <c r="D200" i="71"/>
  <c r="U34" i="17"/>
  <c r="U38" i="17"/>
  <c r="E80" i="67" s="1"/>
  <c r="F80" i="67" s="1"/>
  <c r="U29" i="17"/>
  <c r="E63" i="67" s="1"/>
  <c r="U40" i="17"/>
  <c r="AA40" i="17" s="1"/>
  <c r="E81" i="67"/>
  <c r="G81" i="67" s="1"/>
  <c r="U41" i="17"/>
  <c r="E106" i="67" s="1"/>
  <c r="B194" i="71"/>
  <c r="B200" i="71"/>
  <c r="B195" i="71"/>
  <c r="C224" i="71"/>
  <c r="B224" i="71"/>
  <c r="C242" i="71"/>
  <c r="D224" i="71"/>
  <c r="D242" i="71"/>
  <c r="E224" i="71"/>
  <c r="F224" i="71"/>
  <c r="U35" i="17"/>
  <c r="E105" i="67"/>
  <c r="G105" i="67" s="1"/>
  <c r="U48" i="17"/>
  <c r="AA48" i="17" s="1"/>
  <c r="B242" i="71"/>
  <c r="B237" i="71"/>
  <c r="W20" i="92"/>
  <c r="G109" i="71"/>
  <c r="G114" i="71"/>
  <c r="H109" i="71"/>
  <c r="H114" i="71"/>
  <c r="I109" i="71"/>
  <c r="I114" i="71"/>
  <c r="J109" i="71"/>
  <c r="J114" i="71"/>
  <c r="W19" i="92"/>
  <c r="K109" i="71"/>
  <c r="K114" i="71"/>
  <c r="G158" i="71"/>
  <c r="G159" i="71"/>
  <c r="G157" i="71"/>
  <c r="H157" i="71"/>
  <c r="I157" i="71"/>
  <c r="J158" i="71"/>
  <c r="J159" i="71"/>
  <c r="J157" i="71"/>
  <c r="K157" i="71"/>
  <c r="G224" i="71"/>
  <c r="H224" i="71"/>
  <c r="I224" i="71"/>
  <c r="J224" i="71"/>
  <c r="K224" i="71"/>
  <c r="G71" i="71"/>
  <c r="H71" i="71"/>
  <c r="I71" i="71"/>
  <c r="J71" i="71"/>
  <c r="K71" i="71"/>
  <c r="L109" i="71"/>
  <c r="L114" i="71"/>
  <c r="M109" i="71"/>
  <c r="M114" i="71"/>
  <c r="N109" i="71"/>
  <c r="N114" i="71"/>
  <c r="O109" i="71"/>
  <c r="O114" i="71"/>
  <c r="P109" i="71"/>
  <c r="P114" i="71"/>
  <c r="L157" i="71"/>
  <c r="M157" i="71"/>
  <c r="N158" i="71"/>
  <c r="N159" i="71"/>
  <c r="N157" i="71"/>
  <c r="O158" i="71"/>
  <c r="O159" i="71"/>
  <c r="O157" i="71"/>
  <c r="P158" i="71"/>
  <c r="P159" i="71"/>
  <c r="P157" i="71"/>
  <c r="L224" i="71"/>
  <c r="M224" i="71"/>
  <c r="N224" i="71"/>
  <c r="O224" i="71"/>
  <c r="P224" i="71"/>
  <c r="L71" i="71"/>
  <c r="M71" i="71"/>
  <c r="N71" i="71"/>
  <c r="O71" i="71"/>
  <c r="P71" i="71"/>
  <c r="Q109" i="71"/>
  <c r="Q114" i="71"/>
  <c r="R109" i="71"/>
  <c r="R114" i="71"/>
  <c r="S109" i="71"/>
  <c r="S114" i="71"/>
  <c r="T109" i="71"/>
  <c r="T114" i="71"/>
  <c r="U109" i="71"/>
  <c r="U114" i="71"/>
  <c r="Q158" i="71"/>
  <c r="Q159" i="71"/>
  <c r="Q157" i="71"/>
  <c r="R158" i="71"/>
  <c r="R159" i="71"/>
  <c r="R157" i="71"/>
  <c r="S158" i="71"/>
  <c r="S159" i="71"/>
  <c r="S157" i="71"/>
  <c r="T158" i="71"/>
  <c r="T159" i="71"/>
  <c r="T157" i="71"/>
  <c r="U158" i="71"/>
  <c r="U159" i="71"/>
  <c r="U157" i="71"/>
  <c r="Q224" i="71"/>
  <c r="R224" i="71"/>
  <c r="S224" i="71"/>
  <c r="T224" i="71"/>
  <c r="U224" i="71"/>
  <c r="Q71" i="71"/>
  <c r="R71" i="71"/>
  <c r="S71" i="71"/>
  <c r="T71" i="71"/>
  <c r="U71" i="71"/>
  <c r="B63" i="56"/>
  <c r="S15" i="92" s="1"/>
  <c r="S23" i="92"/>
  <c r="E65" i="56"/>
  <c r="B65" i="56" s="1"/>
  <c r="S24" i="92" s="1"/>
  <c r="E66" i="56"/>
  <c r="B66" i="56" s="1"/>
  <c r="S25" i="92" s="1"/>
  <c r="E67" i="56"/>
  <c r="B67" i="56" s="1"/>
  <c r="S26" i="92" s="1"/>
  <c r="E75" i="56"/>
  <c r="B391" i="56" s="1"/>
  <c r="E76" i="56"/>
  <c r="B76" i="56" s="1"/>
  <c r="S35" i="92" s="1"/>
  <c r="R16" i="92"/>
  <c r="R14" i="92"/>
  <c r="R15" i="92"/>
  <c r="R23" i="92"/>
  <c r="R24" i="92"/>
  <c r="R25" i="92"/>
  <c r="R26" i="92"/>
  <c r="R27" i="92"/>
  <c r="R28" i="92"/>
  <c r="R29" i="92"/>
  <c r="R30" i="92"/>
  <c r="R31" i="92"/>
  <c r="R32" i="92"/>
  <c r="R33" i="92"/>
  <c r="R34" i="92"/>
  <c r="R35" i="92"/>
  <c r="X15" i="92"/>
  <c r="X16" i="92"/>
  <c r="X17" i="92"/>
  <c r="X14" i="92"/>
  <c r="A92" i="56"/>
  <c r="V17" i="92" s="1"/>
  <c r="W17" i="92"/>
  <c r="A90" i="56"/>
  <c r="V15" i="92" s="1"/>
  <c r="A91" i="56"/>
  <c r="V16" i="92" s="1"/>
  <c r="V14" i="92"/>
  <c r="V22" i="92"/>
  <c r="W22" i="92"/>
  <c r="W21" i="92"/>
  <c r="X21" i="92"/>
  <c r="V21" i="92"/>
  <c r="X19" i="92"/>
  <c r="V19" i="92"/>
  <c r="X18" i="92"/>
  <c r="V18" i="92"/>
  <c r="S68" i="17"/>
  <c r="G68" i="17"/>
  <c r="B371" i="56"/>
  <c r="D364" i="56"/>
  <c r="E364" i="56" s="1"/>
  <c r="D353" i="56"/>
  <c r="E353" i="56" s="1"/>
  <c r="D354" i="56"/>
  <c r="E354" i="56" s="1"/>
  <c r="D365" i="56"/>
  <c r="E365" i="56" s="1"/>
  <c r="D358" i="56"/>
  <c r="E358" i="56" s="1"/>
  <c r="D359" i="56"/>
  <c r="E359" i="56" s="1"/>
  <c r="E242" i="71"/>
  <c r="F242" i="71"/>
  <c r="G242" i="71"/>
  <c r="H242" i="71"/>
  <c r="I242" i="71"/>
  <c r="J242" i="71"/>
  <c r="K242" i="71"/>
  <c r="L242" i="71"/>
  <c r="M242" i="71"/>
  <c r="N242" i="71"/>
  <c r="O242" i="71"/>
  <c r="P242" i="71"/>
  <c r="B435" i="71"/>
  <c r="C435" i="71" s="1"/>
  <c r="D435" i="71" s="1"/>
  <c r="E435" i="71" s="1"/>
  <c r="F435" i="71" s="1"/>
  <c r="G435" i="71" s="1"/>
  <c r="H435" i="71" s="1"/>
  <c r="I435" i="71" s="1"/>
  <c r="J435" i="71" s="1"/>
  <c r="K435" i="71" s="1"/>
  <c r="L435" i="71" s="1"/>
  <c r="E17" i="67"/>
  <c r="G17" i="67" s="1"/>
  <c r="D17" i="67"/>
  <c r="A410" i="71"/>
  <c r="A417" i="71" s="1"/>
  <c r="A422" i="71" s="1"/>
  <c r="A411" i="71"/>
  <c r="A418" i="71" s="1"/>
  <c r="A423" i="71" s="1"/>
  <c r="A409" i="71"/>
  <c r="A416" i="71" s="1"/>
  <c r="A421" i="71" s="1"/>
  <c r="D5" i="18"/>
  <c r="M58" i="87"/>
  <c r="C26" i="87"/>
  <c r="M63" i="87"/>
  <c r="M64" i="87"/>
  <c r="C25" i="87"/>
  <c r="M65" i="87"/>
  <c r="C24" i="87"/>
  <c r="M60" i="87"/>
  <c r="C22" i="87"/>
  <c r="M59" i="87"/>
  <c r="C21" i="87"/>
  <c r="D4" i="18"/>
  <c r="D7" i="18"/>
  <c r="C14" i="87"/>
  <c r="C8" i="87"/>
  <c r="U242" i="71"/>
  <c r="T242" i="71"/>
  <c r="S242" i="71"/>
  <c r="R242" i="71"/>
  <c r="Q242" i="71"/>
  <c r="U200" i="71"/>
  <c r="T200" i="71"/>
  <c r="S200" i="71"/>
  <c r="R200" i="71"/>
  <c r="Q200" i="71"/>
  <c r="P200" i="71"/>
  <c r="O200" i="71"/>
  <c r="N200" i="71"/>
  <c r="M200" i="71"/>
  <c r="L200" i="71"/>
  <c r="K200" i="71"/>
  <c r="J200" i="71"/>
  <c r="I200" i="71"/>
  <c r="H200" i="71"/>
  <c r="G200" i="71"/>
  <c r="F200" i="71"/>
  <c r="E200" i="71"/>
  <c r="U403" i="56"/>
  <c r="U405" i="56" s="1"/>
  <c r="T403" i="56"/>
  <c r="T405" i="56" s="1"/>
  <c r="F403" i="56"/>
  <c r="F405" i="56" s="1"/>
  <c r="E403" i="56"/>
  <c r="E405" i="56" s="1"/>
  <c r="B403" i="56"/>
  <c r="B405" i="56" s="1"/>
  <c r="C403" i="56"/>
  <c r="C405" i="56" s="1"/>
  <c r="D403" i="56"/>
  <c r="D405" i="56" s="1"/>
  <c r="D417" i="56" s="1"/>
  <c r="G403" i="56"/>
  <c r="G405" i="56" s="1"/>
  <c r="H403" i="56"/>
  <c r="H405" i="56" s="1"/>
  <c r="I403" i="56"/>
  <c r="I405" i="56" s="1"/>
  <c r="J403" i="56"/>
  <c r="J405" i="56" s="1"/>
  <c r="K403" i="56"/>
  <c r="K405" i="56" s="1"/>
  <c r="L403" i="56"/>
  <c r="L405" i="56" s="1"/>
  <c r="L417" i="56" s="1"/>
  <c r="M403" i="56"/>
  <c r="M405" i="56" s="1"/>
  <c r="M417" i="56" s="1"/>
  <c r="N403" i="56"/>
  <c r="N405" i="56" s="1"/>
  <c r="O403" i="56"/>
  <c r="O405" i="56" s="1"/>
  <c r="P403" i="56"/>
  <c r="P405" i="56" s="1"/>
  <c r="Q403" i="56"/>
  <c r="Q405" i="56" s="1"/>
  <c r="R403" i="56"/>
  <c r="R405" i="56" s="1"/>
  <c r="R417" i="56" s="1"/>
  <c r="S403" i="56"/>
  <c r="S405" i="56" s="1"/>
  <c r="C30" i="56"/>
  <c r="D30" i="56" s="1"/>
  <c r="R26" i="87"/>
  <c r="R27" i="87"/>
  <c r="R29" i="87"/>
  <c r="B14" i="87"/>
  <c r="B23" i="87"/>
  <c r="B24" i="87"/>
  <c r="B26" i="87"/>
  <c r="C15" i="87"/>
  <c r="C16" i="87"/>
  <c r="C17" i="87"/>
  <c r="C18" i="87"/>
  <c r="M69" i="87"/>
  <c r="M62" i="87"/>
  <c r="B5" i="87"/>
  <c r="B6" i="87"/>
  <c r="R29" i="17"/>
  <c r="R30" i="17"/>
  <c r="R31" i="17"/>
  <c r="R32" i="17"/>
  <c r="R33" i="17"/>
  <c r="R34" i="17"/>
  <c r="R35" i="17"/>
  <c r="R36" i="17"/>
  <c r="R37" i="17"/>
  <c r="R38" i="17"/>
  <c r="R39" i="17"/>
  <c r="R40" i="17"/>
  <c r="R41" i="17"/>
  <c r="R42" i="17"/>
  <c r="R43" i="17"/>
  <c r="R44" i="17"/>
  <c r="R45" i="17"/>
  <c r="R46" i="17"/>
  <c r="R47" i="17"/>
  <c r="R48" i="17"/>
  <c r="R57" i="17"/>
  <c r="R67" i="17"/>
  <c r="R28" i="17"/>
  <c r="I75" i="17"/>
  <c r="B267" i="71"/>
  <c r="C267" i="71" s="1"/>
  <c r="D267" i="71" s="1"/>
  <c r="E267" i="71" s="1"/>
  <c r="F267" i="71" s="1"/>
  <c r="G267" i="71" s="1"/>
  <c r="H267" i="71" s="1"/>
  <c r="I267" i="71" s="1"/>
  <c r="J267" i="71" s="1"/>
  <c r="K267" i="71" s="1"/>
  <c r="L267" i="71" s="1"/>
  <c r="M267" i="71" s="1"/>
  <c r="N267" i="71" s="1"/>
  <c r="O267" i="71" s="1"/>
  <c r="P267" i="71" s="1"/>
  <c r="Q267" i="71" s="1"/>
  <c r="R267" i="71" s="1"/>
  <c r="S267" i="71" s="1"/>
  <c r="T267" i="71" s="1"/>
  <c r="U267" i="71" s="1"/>
  <c r="V267" i="71" s="1"/>
  <c r="B282" i="71"/>
  <c r="C282" i="71" s="1"/>
  <c r="D282" i="71" s="1"/>
  <c r="E282" i="71" s="1"/>
  <c r="F282" i="71" s="1"/>
  <c r="G282" i="71" s="1"/>
  <c r="H282" i="71" s="1"/>
  <c r="I282" i="71" s="1"/>
  <c r="J282" i="71" s="1"/>
  <c r="K282" i="71" s="1"/>
  <c r="L282" i="71" s="1"/>
  <c r="M282" i="71" s="1"/>
  <c r="N282" i="71" s="1"/>
  <c r="O282" i="71" s="1"/>
  <c r="P282" i="71" s="1"/>
  <c r="Q282" i="71" s="1"/>
  <c r="R282" i="71" s="1"/>
  <c r="S282" i="71" s="1"/>
  <c r="T282" i="71" s="1"/>
  <c r="U282" i="71" s="1"/>
  <c r="V282" i="71" s="1"/>
  <c r="AZ10" i="11"/>
  <c r="AN10" i="11"/>
  <c r="E160" i="56"/>
  <c r="K202" i="71"/>
  <c r="AW29" i="17"/>
  <c r="AW30" i="17"/>
  <c r="AW31" i="17"/>
  <c r="AW32" i="17"/>
  <c r="AW33" i="17"/>
  <c r="AW34" i="17"/>
  <c r="AW35" i="17"/>
  <c r="AW36" i="17"/>
  <c r="AW37" i="17"/>
  <c r="AW38" i="17"/>
  <c r="AW39" i="17"/>
  <c r="AW40" i="17"/>
  <c r="AW41" i="17"/>
  <c r="AW43" i="17"/>
  <c r="AW44" i="17"/>
  <c r="AW45" i="17"/>
  <c r="AW46" i="17"/>
  <c r="AW47" i="17"/>
  <c r="AW48" i="17"/>
  <c r="AW67" i="17"/>
  <c r="AW28" i="17"/>
  <c r="N28" i="87"/>
  <c r="R36" i="87"/>
  <c r="R34" i="87"/>
  <c r="R33" i="87"/>
  <c r="B8" i="87"/>
  <c r="E11" i="67"/>
  <c r="A438" i="56"/>
  <c r="A24" i="71" s="1"/>
  <c r="A439" i="56"/>
  <c r="A25" i="71" s="1"/>
  <c r="A440" i="56"/>
  <c r="A26" i="71" s="1"/>
  <c r="A437" i="56"/>
  <c r="A23" i="71" s="1"/>
  <c r="A434" i="56"/>
  <c r="A21" i="71" s="1"/>
  <c r="A435" i="56"/>
  <c r="A22" i="71" s="1"/>
  <c r="A433" i="56"/>
  <c r="A20" i="71" s="1"/>
  <c r="B370" i="56"/>
  <c r="D23" i="56"/>
  <c r="D26" i="56"/>
  <c r="D27" i="56"/>
  <c r="D28" i="56"/>
  <c r="D29" i="56"/>
  <c r="A312" i="56"/>
  <c r="B316" i="56"/>
  <c r="C316" i="56" s="1"/>
  <c r="A289" i="56"/>
  <c r="B293" i="56"/>
  <c r="A294" i="56" s="1"/>
  <c r="B294" i="56" s="1"/>
  <c r="A295" i="56" s="1"/>
  <c r="B295" i="56" s="1"/>
  <c r="I3" i="18"/>
  <c r="H3" i="18"/>
  <c r="G3" i="18"/>
  <c r="A94" i="56"/>
  <c r="A95" i="56"/>
  <c r="A96" i="56"/>
  <c r="A265" i="56"/>
  <c r="B284" i="56" s="1"/>
  <c r="B269" i="56"/>
  <c r="A270" i="56" s="1"/>
  <c r="B270" i="56" s="1"/>
  <c r="A241" i="56"/>
  <c r="B245" i="56"/>
  <c r="A246" i="56" s="1"/>
  <c r="B246" i="56" s="1"/>
  <c r="A217" i="56"/>
  <c r="B236" i="56" s="1"/>
  <c r="B221" i="56"/>
  <c r="C221" i="56" s="1"/>
  <c r="A482" i="71"/>
  <c r="Z43" i="17"/>
  <c r="Z44" i="17"/>
  <c r="Z45" i="17"/>
  <c r="Z46" i="17"/>
  <c r="Z47" i="17"/>
  <c r="Z5" i="92"/>
  <c r="Z6" i="92"/>
  <c r="Z7" i="92"/>
  <c r="Z8" i="92"/>
  <c r="Z9" i="92"/>
  <c r="Z10" i="92"/>
  <c r="Z11" i="92"/>
  <c r="Z12" i="92"/>
  <c r="Z13" i="92"/>
  <c r="Z14" i="92"/>
  <c r="Z15" i="92"/>
  <c r="Z16" i="92"/>
  <c r="Z17" i="92"/>
  <c r="Z18" i="92"/>
  <c r="Z19" i="92"/>
  <c r="Z20" i="92"/>
  <c r="Z21" i="92"/>
  <c r="Z22" i="92"/>
  <c r="Z23" i="92"/>
  <c r="Z24" i="92"/>
  <c r="Z4" i="92"/>
  <c r="D383" i="71"/>
  <c r="E383" i="71" s="1"/>
  <c r="F383" i="71" s="1"/>
  <c r="G383" i="71" s="1"/>
  <c r="H383" i="71" s="1"/>
  <c r="I383" i="71" s="1"/>
  <c r="J383" i="71" s="1"/>
  <c r="K383" i="71" s="1"/>
  <c r="L383" i="71" s="1"/>
  <c r="M383" i="71" s="1"/>
  <c r="N383" i="71" s="1"/>
  <c r="O383" i="71" s="1"/>
  <c r="P383" i="71" s="1"/>
  <c r="Q383" i="71" s="1"/>
  <c r="R383" i="71" s="1"/>
  <c r="S383" i="71" s="1"/>
  <c r="T383" i="71" s="1"/>
  <c r="U383" i="71" s="1"/>
  <c r="V383" i="71" s="1"/>
  <c r="A429" i="71"/>
  <c r="A384" i="71"/>
  <c r="A451" i="71" s="1"/>
  <c r="A479" i="71"/>
  <c r="A436" i="71"/>
  <c r="A298" i="71"/>
  <c r="A314" i="71" s="1"/>
  <c r="B7" i="92"/>
  <c r="B18" i="92" s="1"/>
  <c r="R4" i="92"/>
  <c r="R5" i="92"/>
  <c r="S5" i="92"/>
  <c r="R6" i="92"/>
  <c r="R7" i="92"/>
  <c r="R8" i="92"/>
  <c r="R9" i="92"/>
  <c r="R10" i="92"/>
  <c r="S10" i="92"/>
  <c r="R11" i="92"/>
  <c r="S11" i="92"/>
  <c r="V20" i="92"/>
  <c r="U47" i="17"/>
  <c r="AA47" i="17" s="1"/>
  <c r="Z48" i="17"/>
  <c r="U67" i="17"/>
  <c r="AA67" i="17" s="1"/>
  <c r="U42" i="17"/>
  <c r="AA42" i="17" s="1"/>
  <c r="A276" i="71"/>
  <c r="A483" i="71" s="1"/>
  <c r="G201" i="71"/>
  <c r="G202" i="71"/>
  <c r="H201" i="71"/>
  <c r="H202" i="71"/>
  <c r="J201" i="71"/>
  <c r="J202" i="71"/>
  <c r="L201" i="71"/>
  <c r="L202" i="71"/>
  <c r="N201" i="71"/>
  <c r="N202" i="71"/>
  <c r="O201" i="71"/>
  <c r="O202" i="71"/>
  <c r="P201" i="71"/>
  <c r="P202" i="71"/>
  <c r="Q201" i="71"/>
  <c r="Q202" i="71"/>
  <c r="R201" i="71"/>
  <c r="R202" i="71"/>
  <c r="S201" i="71"/>
  <c r="S202" i="71"/>
  <c r="T201" i="71"/>
  <c r="T202" i="71"/>
  <c r="U201" i="71"/>
  <c r="U202" i="71"/>
  <c r="A278" i="71"/>
  <c r="A431" i="71" s="1"/>
  <c r="D371" i="71"/>
  <c r="E371" i="71" s="1"/>
  <c r="F371" i="71" s="1"/>
  <c r="G371" i="71" s="1"/>
  <c r="H371" i="71" s="1"/>
  <c r="I371" i="71" s="1"/>
  <c r="J371" i="71" s="1"/>
  <c r="K371" i="71" s="1"/>
  <c r="L371" i="71" s="1"/>
  <c r="M371" i="71" s="1"/>
  <c r="N371" i="71" s="1"/>
  <c r="O371" i="71" s="1"/>
  <c r="P371" i="71" s="1"/>
  <c r="Q371" i="71" s="1"/>
  <c r="R371" i="71" s="1"/>
  <c r="S371" i="71" s="1"/>
  <c r="T371" i="71" s="1"/>
  <c r="U371" i="71" s="1"/>
  <c r="V371" i="71" s="1"/>
  <c r="A470" i="71"/>
  <c r="A471" i="71"/>
  <c r="A472" i="71"/>
  <c r="H6" i="71"/>
  <c r="E6" i="71"/>
  <c r="M28" i="87"/>
  <c r="C124" i="56"/>
  <c r="D25" i="56"/>
  <c r="Z29" i="17"/>
  <c r="Z30" i="17"/>
  <c r="Z31" i="17"/>
  <c r="Z32" i="17"/>
  <c r="Z33" i="17"/>
  <c r="Z34" i="17"/>
  <c r="Z35" i="17"/>
  <c r="Z36" i="17"/>
  <c r="Z37" i="17"/>
  <c r="Z38" i="17"/>
  <c r="Z39" i="17"/>
  <c r="Z40" i="17"/>
  <c r="Z41" i="17"/>
  <c r="Z67" i="17"/>
  <c r="Z28" i="17"/>
  <c r="Q68" i="17"/>
  <c r="I77" i="17"/>
  <c r="B50" i="56"/>
  <c r="S4" i="92" s="1"/>
  <c r="H72" i="17"/>
  <c r="H77" i="17"/>
  <c r="H74" i="17"/>
  <c r="H75" i="17"/>
  <c r="H76" i="17"/>
  <c r="H73" i="17"/>
  <c r="C125" i="56"/>
  <c r="D24" i="56"/>
  <c r="I68" i="17"/>
  <c r="M68" i="17"/>
  <c r="I4" i="18"/>
  <c r="H4" i="18"/>
  <c r="G9" i="18"/>
  <c r="G10" i="18"/>
  <c r="G11" i="18"/>
  <c r="G8" i="18"/>
  <c r="G4" i="18"/>
  <c r="G5" i="18"/>
  <c r="G6" i="18"/>
  <c r="G7" i="18"/>
  <c r="F6" i="18"/>
  <c r="D8" i="18"/>
  <c r="D6" i="18"/>
  <c r="AH17" i="18"/>
  <c r="AH16" i="18"/>
  <c r="AH15" i="18"/>
  <c r="AH14" i="18"/>
  <c r="AH13" i="18"/>
  <c r="AH12" i="18"/>
  <c r="AH10" i="18"/>
  <c r="AH8" i="18"/>
  <c r="AJ58" i="18"/>
  <c r="K201" i="71"/>
  <c r="AA32" i="17" l="1"/>
  <c r="E45" i="67"/>
  <c r="F45" i="67" s="1"/>
  <c r="E67" i="67"/>
  <c r="E90" i="67"/>
  <c r="F90" i="67" s="1"/>
  <c r="E40" i="67"/>
  <c r="G40" i="67" s="1"/>
  <c r="E65" i="67"/>
  <c r="G65" i="67" s="1"/>
  <c r="G91" i="67"/>
  <c r="CF29" i="17"/>
  <c r="E66" i="67"/>
  <c r="G66" i="67" s="1"/>
  <c r="BZ29" i="17"/>
  <c r="E88" i="67"/>
  <c r="BP13" i="11" a="1"/>
  <c r="BP13" i="11" s="1"/>
  <c r="BP14" i="11" a="1"/>
  <c r="BP14" i="11" s="1"/>
  <c r="BP12" i="11" a="1"/>
  <c r="BP12" i="11" s="1"/>
  <c r="BP11" i="11" a="1"/>
  <c r="BP11" i="11" s="1"/>
  <c r="N415" i="56"/>
  <c r="C417" i="56"/>
  <c r="J415" i="56"/>
  <c r="I417" i="56"/>
  <c r="Q417" i="56"/>
  <c r="S415" i="56"/>
  <c r="D415" i="56"/>
  <c r="I413" i="56"/>
  <c r="I414" i="56" s="1"/>
  <c r="T417" i="56"/>
  <c r="B417" i="56"/>
  <c r="C421" i="56" s="1"/>
  <c r="N417" i="56"/>
  <c r="N419" i="56" s="1"/>
  <c r="N420" i="56" s="1"/>
  <c r="Q415" i="56"/>
  <c r="U415" i="56"/>
  <c r="P415" i="56"/>
  <c r="N413" i="56"/>
  <c r="N414" i="56" s="1"/>
  <c r="I415" i="56"/>
  <c r="H415" i="56"/>
  <c r="K415" i="56"/>
  <c r="J417" i="56"/>
  <c r="J413" i="56"/>
  <c r="J414" i="56" s="1"/>
  <c r="C413" i="56"/>
  <c r="C414" i="56" s="1"/>
  <c r="U417" i="56"/>
  <c r="B440" i="56"/>
  <c r="B26" i="71" s="1"/>
  <c r="B241" i="71" s="1"/>
  <c r="G63" i="67"/>
  <c r="A322" i="71"/>
  <c r="A330" i="71" s="1"/>
  <c r="A338" i="71" s="1"/>
  <c r="A346" i="71" s="1"/>
  <c r="A354" i="71" s="1"/>
  <c r="A362" i="71" s="1"/>
  <c r="A306" i="71"/>
  <c r="E417" i="56"/>
  <c r="E419" i="56" s="1"/>
  <c r="E420" i="56" s="1"/>
  <c r="A219" i="56"/>
  <c r="C415" i="56"/>
  <c r="H417" i="56"/>
  <c r="D413" i="56"/>
  <c r="D414" i="56" s="1"/>
  <c r="AA38" i="17"/>
  <c r="CB65" i="17"/>
  <c r="CB41" i="17"/>
  <c r="CB29" i="17"/>
  <c r="BZ33" i="17"/>
  <c r="CB53" i="17"/>
  <c r="CA45" i="17"/>
  <c r="AA34" i="17"/>
  <c r="AA37" i="17"/>
  <c r="H413" i="56"/>
  <c r="H414" i="56" s="1"/>
  <c r="F147" i="56"/>
  <c r="CA38" i="17"/>
  <c r="I205" i="71"/>
  <c r="B72" i="56"/>
  <c r="S31" i="92" s="1"/>
  <c r="B55" i="56"/>
  <c r="S9" i="92" s="1"/>
  <c r="B73" i="56"/>
  <c r="S32" i="92" s="1"/>
  <c r="B71" i="56"/>
  <c r="S30" i="92" s="1"/>
  <c r="B387" i="56"/>
  <c r="B437" i="56" s="1"/>
  <c r="B23" i="71" s="1"/>
  <c r="B110" i="71" s="1"/>
  <c r="B392" i="56"/>
  <c r="B74" i="56"/>
  <c r="S33" i="92" s="1"/>
  <c r="K444" i="71"/>
  <c r="K445" i="71" s="1"/>
  <c r="W14" i="92"/>
  <c r="C415" i="71"/>
  <c r="AA39" i="17"/>
  <c r="E107" i="67"/>
  <c r="G107" i="67" s="1"/>
  <c r="AA29" i="17"/>
  <c r="E102" i="67"/>
  <c r="G102" i="67" s="1"/>
  <c r="AW42" i="17"/>
  <c r="H68" i="17"/>
  <c r="BZ65" i="17"/>
  <c r="BZ45" i="17"/>
  <c r="BZ66" i="17"/>
  <c r="BZ57" i="17"/>
  <c r="E101" i="67"/>
  <c r="G101" i="67" s="1"/>
  <c r="E64" i="67"/>
  <c r="G64" i="67" s="1"/>
  <c r="E70" i="67"/>
  <c r="G70" i="67" s="1"/>
  <c r="E44" i="67"/>
  <c r="F44" i="67" s="1"/>
  <c r="E39" i="67"/>
  <c r="G39" i="67" s="1"/>
  <c r="D158" i="71" s="1"/>
  <c r="E69" i="67"/>
  <c r="G69" i="67" s="1"/>
  <c r="E43" i="67"/>
  <c r="F43" i="67" s="1"/>
  <c r="K163" i="71" s="1"/>
  <c r="E38" i="67"/>
  <c r="AA31" i="17"/>
  <c r="E89" i="67"/>
  <c r="F89" i="67" s="1"/>
  <c r="E68" i="67"/>
  <c r="F68" i="67" s="1"/>
  <c r="AA30" i="17"/>
  <c r="CB28" i="17"/>
  <c r="E41" i="67"/>
  <c r="G41" i="67" s="1"/>
  <c r="B422" i="71"/>
  <c r="C414" i="71"/>
  <c r="BZ30" i="17"/>
  <c r="CD29" i="17"/>
  <c r="CA50" i="17"/>
  <c r="BZ47" i="17"/>
  <c r="CA39" i="17"/>
  <c r="CA44" i="17"/>
  <c r="CA32" i="17"/>
  <c r="CA28" i="17"/>
  <c r="CB60" i="17"/>
  <c r="BZ52" i="17"/>
  <c r="CB48" i="17"/>
  <c r="CB36" i="17"/>
  <c r="CA56" i="17"/>
  <c r="CA64" i="17"/>
  <c r="CA63" i="17"/>
  <c r="BZ59" i="17"/>
  <c r="CB55" i="17"/>
  <c r="BZ35" i="17"/>
  <c r="CB56" i="17"/>
  <c r="CA40" i="17"/>
  <c r="CB32" i="17"/>
  <c r="CB44" i="17"/>
  <c r="CA51" i="17"/>
  <c r="CB43" i="17"/>
  <c r="CB61" i="17"/>
  <c r="CA66" i="17"/>
  <c r="T413" i="56"/>
  <c r="T414" i="56" s="1"/>
  <c r="O413" i="56"/>
  <c r="O414" i="56" s="1"/>
  <c r="Q413" i="56"/>
  <c r="Q414" i="56" s="1"/>
  <c r="B439" i="56"/>
  <c r="B25" i="71" s="1"/>
  <c r="B240" i="71" s="1"/>
  <c r="G415" i="56"/>
  <c r="BZ48" i="17"/>
  <c r="BZ60" i="17"/>
  <c r="BZ36" i="17"/>
  <c r="A287" i="71"/>
  <c r="A469" i="71" s="1"/>
  <c r="A267" i="56"/>
  <c r="BF10" i="11"/>
  <c r="CB49" i="17"/>
  <c r="E268" i="56"/>
  <c r="C261" i="56"/>
  <c r="C262" i="56" s="1"/>
  <c r="E244" i="56"/>
  <c r="A243" i="56"/>
  <c r="BH10" i="11"/>
  <c r="CF38" i="17"/>
  <c r="CF31" i="17"/>
  <c r="K248" i="71"/>
  <c r="G248" i="71"/>
  <c r="E248" i="71"/>
  <c r="CA29" i="17"/>
  <c r="CB30" i="17"/>
  <c r="BZ28" i="17"/>
  <c r="CF40" i="17"/>
  <c r="CF34" i="17"/>
  <c r="CD28" i="17"/>
  <c r="CF58" i="17"/>
  <c r="CE48" i="17"/>
  <c r="CE58" i="17"/>
  <c r="CF37" i="17"/>
  <c r="CB66" i="17"/>
  <c r="CA52" i="17"/>
  <c r="CF57" i="17"/>
  <c r="CF46" i="17"/>
  <c r="CE36" i="17"/>
  <c r="CB54" i="17"/>
  <c r="CF67" i="17"/>
  <c r="CE46" i="17"/>
  <c r="BZ34" i="17"/>
  <c r="CE65" i="17"/>
  <c r="CF45" i="17"/>
  <c r="CA62" i="17"/>
  <c r="CF64" i="17"/>
  <c r="CE34" i="17"/>
  <c r="CB42" i="17"/>
  <c r="CE53" i="17"/>
  <c r="CF33" i="17"/>
  <c r="BZ46" i="17"/>
  <c r="CF62" i="17"/>
  <c r="CF52" i="17"/>
  <c r="BZ58" i="17"/>
  <c r="CE41" i="17"/>
  <c r="CF50" i="17"/>
  <c r="CF30" i="17"/>
  <c r="CE60" i="17"/>
  <c r="CE29" i="17"/>
  <c r="CA43" i="17"/>
  <c r="CE67" i="17"/>
  <c r="CE61" i="17"/>
  <c r="CE55" i="17"/>
  <c r="CE49" i="17"/>
  <c r="CE37" i="17"/>
  <c r="CE31" i="17"/>
  <c r="CD67" i="17"/>
  <c r="CD64" i="17"/>
  <c r="CD61" i="17"/>
  <c r="CD55" i="17"/>
  <c r="CD49" i="17"/>
  <c r="CD43" i="17"/>
  <c r="CD40" i="17"/>
  <c r="CD37" i="17"/>
  <c r="CD31" i="17"/>
  <c r="BZ39" i="17"/>
  <c r="BZ51" i="17"/>
  <c r="CB47" i="17"/>
  <c r="CF63" i="17"/>
  <c r="CF51" i="17"/>
  <c r="CF39" i="17"/>
  <c r="CE57" i="17"/>
  <c r="CE54" i="17"/>
  <c r="CE42" i="17"/>
  <c r="CE33" i="17"/>
  <c r="CE30" i="17"/>
  <c r="CD63" i="17"/>
  <c r="CD54" i="17"/>
  <c r="CD42" i="17"/>
  <c r="CD30" i="17"/>
  <c r="CF59" i="17"/>
  <c r="CF35" i="17"/>
  <c r="CE59" i="17"/>
  <c r="CE47" i="17"/>
  <c r="CE35" i="17"/>
  <c r="C318" i="71" s="1" a="1"/>
  <c r="C318" i="71" s="1"/>
  <c r="CD62" i="17"/>
  <c r="CD56" i="17"/>
  <c r="CD53" i="17"/>
  <c r="CD50" i="17"/>
  <c r="CD44" i="17"/>
  <c r="CD41" i="17"/>
  <c r="CD38" i="17"/>
  <c r="D317" i="71" s="1" a="1"/>
  <c r="D317" i="71" s="1"/>
  <c r="CD32" i="17"/>
  <c r="BQ14" i="11" a="1"/>
  <c r="BQ14" i="11" s="1"/>
  <c r="BQ12" i="11" a="1"/>
  <c r="BQ12" i="11" s="1"/>
  <c r="BQ13" i="11" a="1"/>
  <c r="BQ13" i="11" s="1"/>
  <c r="BQ11" i="11" a="1"/>
  <c r="BQ11" i="11" s="1"/>
  <c r="AZ12" i="11"/>
  <c r="AZ14" i="11"/>
  <c r="AZ13" i="11"/>
  <c r="AZ11" i="11"/>
  <c r="AX14" i="11"/>
  <c r="R247" i="71"/>
  <c r="J248" i="71"/>
  <c r="T248" i="71"/>
  <c r="N248" i="71"/>
  <c r="S248" i="71"/>
  <c r="I248" i="71"/>
  <c r="M248" i="71"/>
  <c r="Q248" i="71"/>
  <c r="F247" i="71"/>
  <c r="P248" i="71"/>
  <c r="H248" i="71"/>
  <c r="U248" i="71"/>
  <c r="O248" i="71"/>
  <c r="A314" i="56"/>
  <c r="T415" i="56"/>
  <c r="S417" i="56"/>
  <c r="S419" i="56" s="1"/>
  <c r="S420" i="56" s="1"/>
  <c r="E196" i="56"/>
  <c r="A195" i="56"/>
  <c r="G417" i="56"/>
  <c r="E315" i="56"/>
  <c r="P417" i="56"/>
  <c r="B75" i="56"/>
  <c r="S34" i="92" s="1"/>
  <c r="U413" i="56"/>
  <c r="U414" i="56" s="1"/>
  <c r="O417" i="56"/>
  <c r="O421" i="56" s="1"/>
  <c r="O415" i="56"/>
  <c r="BL10" i="11"/>
  <c r="P413" i="56"/>
  <c r="P414" i="56" s="1"/>
  <c r="B386" i="56"/>
  <c r="B433" i="56" s="1"/>
  <c r="B20" i="71" s="1"/>
  <c r="B191" i="71" s="1"/>
  <c r="F417" i="56"/>
  <c r="B435" i="56"/>
  <c r="C435" i="56" s="1"/>
  <c r="D435" i="56" s="1"/>
  <c r="E435" i="56" s="1"/>
  <c r="F435" i="56" s="1"/>
  <c r="G435" i="56" s="1"/>
  <c r="H435" i="56" s="1"/>
  <c r="I435" i="56" s="1"/>
  <c r="J435" i="56" s="1"/>
  <c r="K435" i="56" s="1"/>
  <c r="L435" i="56" s="1"/>
  <c r="M435" i="56" s="1"/>
  <c r="N435" i="56" s="1"/>
  <c r="O435" i="56" s="1"/>
  <c r="P435" i="56" s="1"/>
  <c r="Q435" i="56" s="1"/>
  <c r="R435" i="56" s="1"/>
  <c r="S435" i="56" s="1"/>
  <c r="T435" i="56" s="1"/>
  <c r="U435" i="56" s="1"/>
  <c r="B438" i="56"/>
  <c r="B24" i="71" s="1"/>
  <c r="B111" i="71" s="1"/>
  <c r="J444" i="71"/>
  <c r="J445" i="71" s="1"/>
  <c r="U444" i="71"/>
  <c r="U445" i="71" s="1"/>
  <c r="I444" i="71"/>
  <c r="I445" i="71" s="1"/>
  <c r="T444" i="71"/>
  <c r="T445" i="71" s="1"/>
  <c r="H444" i="71"/>
  <c r="H445" i="71" s="1"/>
  <c r="A317" i="56"/>
  <c r="B317" i="56" s="1"/>
  <c r="A318" i="56" s="1"/>
  <c r="B318" i="56" s="1"/>
  <c r="K413" i="56"/>
  <c r="K414" i="56" s="1"/>
  <c r="S444" i="71"/>
  <c r="S445" i="71" s="1"/>
  <c r="R444" i="71"/>
  <c r="R445" i="71" s="1"/>
  <c r="K417" i="56"/>
  <c r="L419" i="56" s="1"/>
  <c r="L420" i="56" s="1"/>
  <c r="T421" i="56"/>
  <c r="Q444" i="71"/>
  <c r="Q445" i="71" s="1"/>
  <c r="P444" i="71"/>
  <c r="P445" i="71" s="1"/>
  <c r="B52" i="56"/>
  <c r="S6" i="92" s="1"/>
  <c r="O444" i="71"/>
  <c r="O445" i="71" s="1"/>
  <c r="B28" i="71"/>
  <c r="B115" i="71" s="1"/>
  <c r="N444" i="71"/>
  <c r="N445" i="71" s="1"/>
  <c r="M444" i="71"/>
  <c r="M445" i="71" s="1"/>
  <c r="L444" i="71"/>
  <c r="L445" i="71" s="1"/>
  <c r="H153" i="56"/>
  <c r="E23" i="67"/>
  <c r="F57" i="67"/>
  <c r="F40" i="67"/>
  <c r="E22" i="67"/>
  <c r="F105" i="67"/>
  <c r="F17" i="67"/>
  <c r="F65" i="67"/>
  <c r="F16" i="67"/>
  <c r="C237" i="56"/>
  <c r="C238" i="56" s="1"/>
  <c r="I147" i="56"/>
  <c r="C239" i="56"/>
  <c r="H152" i="56"/>
  <c r="G92" i="67"/>
  <c r="C247" i="71" s="1"/>
  <c r="F92" i="67"/>
  <c r="G106" i="67"/>
  <c r="F106" i="67"/>
  <c r="F67" i="67"/>
  <c r="G67" i="67"/>
  <c r="G104" i="67"/>
  <c r="F104" i="67"/>
  <c r="L163" i="71"/>
  <c r="L159" i="71"/>
  <c r="F54" i="67"/>
  <c r="G54" i="67"/>
  <c r="G45" i="67"/>
  <c r="E82" i="67"/>
  <c r="G80" i="67"/>
  <c r="G56" i="67"/>
  <c r="L158" i="71" s="1"/>
  <c r="E55" i="67"/>
  <c r="AA35" i="17"/>
  <c r="F81" i="67"/>
  <c r="F15" i="67"/>
  <c r="AA41" i="17"/>
  <c r="E103" i="67"/>
  <c r="E42" i="67"/>
  <c r="F63" i="67"/>
  <c r="U68" i="17"/>
  <c r="Z42" i="17"/>
  <c r="L248" i="71"/>
  <c r="C248" i="71"/>
  <c r="J247" i="71"/>
  <c r="R248" i="71"/>
  <c r="F248" i="71"/>
  <c r="H247" i="71"/>
  <c r="S247" i="71"/>
  <c r="M247" i="71"/>
  <c r="A222" i="56"/>
  <c r="B222" i="56" s="1"/>
  <c r="C222" i="56" s="1"/>
  <c r="BJ10" i="11"/>
  <c r="C263" i="56"/>
  <c r="A291" i="56"/>
  <c r="E292" i="56"/>
  <c r="H149" i="56"/>
  <c r="H154" i="56"/>
  <c r="D419" i="56"/>
  <c r="D420" i="56" s="1"/>
  <c r="D421" i="56"/>
  <c r="N421" i="56"/>
  <c r="M419" i="56"/>
  <c r="M420" i="56" s="1"/>
  <c r="M421" i="56"/>
  <c r="L421" i="56"/>
  <c r="S7" i="92"/>
  <c r="B384" i="56"/>
  <c r="J419" i="56"/>
  <c r="J420" i="56" s="1"/>
  <c r="J421" i="56"/>
  <c r="R419" i="56"/>
  <c r="R420" i="56" s="1"/>
  <c r="I421" i="56"/>
  <c r="Q421" i="56"/>
  <c r="H421" i="56"/>
  <c r="L415" i="56"/>
  <c r="E220" i="56"/>
  <c r="C245" i="56"/>
  <c r="M413" i="56"/>
  <c r="M414" i="56" s="1"/>
  <c r="E421" i="56"/>
  <c r="C440" i="56"/>
  <c r="L413" i="56"/>
  <c r="L414" i="56" s="1"/>
  <c r="E147" i="56"/>
  <c r="H157" i="56"/>
  <c r="C428" i="56"/>
  <c r="C15" i="71" s="1"/>
  <c r="C57" i="71" s="1"/>
  <c r="C287" i="56"/>
  <c r="U421" i="56"/>
  <c r="A146" i="56"/>
  <c r="C164" i="56"/>
  <c r="R415" i="56"/>
  <c r="E415" i="56"/>
  <c r="F415" i="56"/>
  <c r="C333" i="56"/>
  <c r="S413" i="56"/>
  <c r="S414" i="56" s="1"/>
  <c r="G413" i="56"/>
  <c r="G414" i="56" s="1"/>
  <c r="H147" i="56"/>
  <c r="G147" i="56"/>
  <c r="R413" i="56"/>
  <c r="R414" i="56" s="1"/>
  <c r="E413" i="56"/>
  <c r="E414" i="56" s="1"/>
  <c r="F413" i="56"/>
  <c r="F414" i="56" s="1"/>
  <c r="BD10" i="11"/>
  <c r="C419" i="56"/>
  <c r="C420" i="56" s="1"/>
  <c r="C148" i="56"/>
  <c r="I148" i="56" s="1"/>
  <c r="C331" i="56"/>
  <c r="C213" i="56"/>
  <c r="C270" i="56"/>
  <c r="A271" i="56"/>
  <c r="B271" i="56" s="1"/>
  <c r="C189" i="56"/>
  <c r="D173" i="56" s="1"/>
  <c r="C269" i="56"/>
  <c r="C310" i="56"/>
  <c r="H155" i="56"/>
  <c r="H151" i="56"/>
  <c r="A172" i="56"/>
  <c r="E173" i="56"/>
  <c r="C293" i="56"/>
  <c r="C295" i="56"/>
  <c r="A296" i="56"/>
  <c r="B296" i="56" s="1"/>
  <c r="C294" i="56"/>
  <c r="A247" i="56"/>
  <c r="B247" i="56" s="1"/>
  <c r="C246" i="56"/>
  <c r="E186" i="56"/>
  <c r="C191" i="56" s="1"/>
  <c r="H156" i="56"/>
  <c r="H150" i="56"/>
  <c r="H159" i="56"/>
  <c r="G160" i="56"/>
  <c r="H148" i="56"/>
  <c r="H158" i="56"/>
  <c r="C149" i="56"/>
  <c r="I149" i="56" s="1"/>
  <c r="A150" i="56"/>
  <c r="B150" i="56" s="1"/>
  <c r="F160" i="56"/>
  <c r="C167" i="56" s="1"/>
  <c r="C168" i="56" a="1"/>
  <c r="C168" i="56" s="1"/>
  <c r="D75" i="17" s="1"/>
  <c r="V63" i="17"/>
  <c r="V51" i="17"/>
  <c r="V64" i="17"/>
  <c r="V57" i="17"/>
  <c r="V61" i="17"/>
  <c r="V56" i="17"/>
  <c r="V60" i="17"/>
  <c r="V50" i="17"/>
  <c r="V54" i="17"/>
  <c r="V49" i="17"/>
  <c r="V65" i="17"/>
  <c r="V59" i="17"/>
  <c r="V67" i="17"/>
  <c r="V66" i="17"/>
  <c r="E209" i="56"/>
  <c r="C215" i="56" s="1"/>
  <c r="C197" i="56"/>
  <c r="A198" i="56"/>
  <c r="B198" i="56" s="1"/>
  <c r="V52" i="17"/>
  <c r="V58" i="17"/>
  <c r="V53" i="17"/>
  <c r="V62" i="17"/>
  <c r="V55" i="17"/>
  <c r="B260" i="56"/>
  <c r="E366" i="56"/>
  <c r="E360" i="56"/>
  <c r="W6" i="92" s="1"/>
  <c r="L247" i="71"/>
  <c r="I247" i="71"/>
  <c r="G247" i="71"/>
  <c r="U247" i="71"/>
  <c r="Q247" i="71"/>
  <c r="T247" i="71"/>
  <c r="O247" i="71"/>
  <c r="N247" i="71"/>
  <c r="K247" i="71"/>
  <c r="E247" i="71"/>
  <c r="P247" i="71"/>
  <c r="D247" i="71"/>
  <c r="G29" i="71"/>
  <c r="G116" i="71" s="1"/>
  <c r="C413" i="71"/>
  <c r="C421" i="71" s="1"/>
  <c r="C416" i="71" s="1"/>
  <c r="I120" i="71"/>
  <c r="W15" i="92"/>
  <c r="G120" i="71"/>
  <c r="F120" i="71"/>
  <c r="E120" i="71"/>
  <c r="U120" i="71"/>
  <c r="T120" i="71"/>
  <c r="S120" i="71"/>
  <c r="R120" i="71"/>
  <c r="Q120" i="71"/>
  <c r="E243" i="71"/>
  <c r="P120" i="71"/>
  <c r="O120" i="71"/>
  <c r="N120" i="71"/>
  <c r="M120" i="71"/>
  <c r="L120" i="71"/>
  <c r="K120" i="71"/>
  <c r="J120" i="71"/>
  <c r="T77" i="71"/>
  <c r="I77" i="71"/>
  <c r="G77" i="71"/>
  <c r="B156" i="71"/>
  <c r="B199" i="71"/>
  <c r="B113" i="71"/>
  <c r="B70" i="71"/>
  <c r="U77" i="71"/>
  <c r="S77" i="71"/>
  <c r="F77" i="71"/>
  <c r="R77" i="71"/>
  <c r="E77" i="71"/>
  <c r="Q77" i="71"/>
  <c r="P77" i="71"/>
  <c r="O77" i="71"/>
  <c r="N77" i="71"/>
  <c r="M77" i="71"/>
  <c r="L77" i="71"/>
  <c r="K77" i="71"/>
  <c r="J77" i="71"/>
  <c r="B475" i="71"/>
  <c r="G243" i="71"/>
  <c r="B478" i="71"/>
  <c r="C243" i="71"/>
  <c r="Q243" i="71"/>
  <c r="A386" i="71"/>
  <c r="A453" i="71" s="1"/>
  <c r="A445" i="71"/>
  <c r="B57" i="71"/>
  <c r="T29" i="71"/>
  <c r="A373" i="71"/>
  <c r="A393" i="71" s="1"/>
  <c r="A400" i="71" s="1"/>
  <c r="B143" i="71"/>
  <c r="A481" i="71"/>
  <c r="J29" i="71"/>
  <c r="J73" i="71" s="1"/>
  <c r="B228" i="71"/>
  <c r="A438" i="71"/>
  <c r="K29" i="71"/>
  <c r="K116" i="71" s="1"/>
  <c r="A461" i="71"/>
  <c r="U243" i="71"/>
  <c r="B186" i="71"/>
  <c r="L29" i="71"/>
  <c r="A300" i="71"/>
  <c r="A316" i="71" s="1"/>
  <c r="A428" i="71"/>
  <c r="O29" i="71"/>
  <c r="F29" i="71"/>
  <c r="F116" i="71" s="1"/>
  <c r="T243" i="71"/>
  <c r="S244" i="71"/>
  <c r="B423" i="71"/>
  <c r="T244" i="71"/>
  <c r="U244" i="71"/>
  <c r="S33" i="71"/>
  <c r="S36" i="71" s="1"/>
  <c r="R33" i="71"/>
  <c r="R36" i="71" s="1"/>
  <c r="E29" i="71"/>
  <c r="Q33" i="71"/>
  <c r="Q36" i="71" s="1"/>
  <c r="M33" i="71"/>
  <c r="M36" i="71" s="1"/>
  <c r="F33" i="71"/>
  <c r="F36" i="71" s="1"/>
  <c r="O244" i="71"/>
  <c r="E33" i="71"/>
  <c r="E36" i="71" s="1"/>
  <c r="B36" i="71"/>
  <c r="D474" i="71"/>
  <c r="C475" i="71"/>
  <c r="C429" i="71" s="1"/>
  <c r="C151" i="71" s="1"/>
  <c r="C478" i="71"/>
  <c r="G36" i="71"/>
  <c r="P33" i="71"/>
  <c r="P36" i="71" s="1"/>
  <c r="O33" i="71"/>
  <c r="O36" i="71" s="1"/>
  <c r="J243" i="71"/>
  <c r="N33" i="71"/>
  <c r="N36" i="71" s="1"/>
  <c r="L33" i="71"/>
  <c r="L36" i="71" s="1"/>
  <c r="K33" i="71"/>
  <c r="K36" i="71" s="1"/>
  <c r="J33" i="71"/>
  <c r="J36" i="71" s="1"/>
  <c r="U33" i="71"/>
  <c r="U36" i="71" s="1"/>
  <c r="I33" i="71"/>
  <c r="I36" i="71" s="1"/>
  <c r="T33" i="71"/>
  <c r="T36" i="71" s="1"/>
  <c r="E244" i="71"/>
  <c r="O243" i="71"/>
  <c r="A464" i="71"/>
  <c r="B236" i="71"/>
  <c r="S243" i="71"/>
  <c r="M243" i="71"/>
  <c r="G244" i="71"/>
  <c r="L243" i="71"/>
  <c r="Q244" i="71"/>
  <c r="A385" i="71"/>
  <c r="A452" i="71" s="1"/>
  <c r="A480" i="71"/>
  <c r="A460" i="71"/>
  <c r="A299" i="71"/>
  <c r="A315" i="71" s="1"/>
  <c r="A437" i="71"/>
  <c r="A372" i="71"/>
  <c r="A392" i="71" s="1"/>
  <c r="A399" i="71" s="1"/>
  <c r="A285" i="71"/>
  <c r="A444" i="71"/>
  <c r="A427" i="71"/>
  <c r="R244" i="71"/>
  <c r="A430" i="71"/>
  <c r="N244" i="71"/>
  <c r="M244" i="71"/>
  <c r="R243" i="71"/>
  <c r="A463" i="71"/>
  <c r="K243" i="71"/>
  <c r="J244" i="71"/>
  <c r="M435" i="71"/>
  <c r="N435" i="71" s="1"/>
  <c r="O435" i="71" s="1"/>
  <c r="P435" i="71" s="1"/>
  <c r="Q435" i="71" s="1"/>
  <c r="R435" i="71" s="1"/>
  <c r="S435" i="71" s="1"/>
  <c r="T435" i="71" s="1"/>
  <c r="U435" i="71" s="1"/>
  <c r="V435" i="71" s="1"/>
  <c r="E426" i="71"/>
  <c r="P244" i="71"/>
  <c r="L244" i="71"/>
  <c r="P243" i="71"/>
  <c r="C409" i="71"/>
  <c r="C152" i="71" s="1"/>
  <c r="D406" i="71"/>
  <c r="C410" i="71"/>
  <c r="C195" i="71" s="1"/>
  <c r="A484" i="71"/>
  <c r="N243" i="71"/>
  <c r="E21" i="67"/>
  <c r="E20" i="67"/>
  <c r="BI40" i="17" l="1"/>
  <c r="BI52" i="17"/>
  <c r="BI64" i="17"/>
  <c r="BI32" i="17"/>
  <c r="BI56" i="17"/>
  <c r="BI57" i="17"/>
  <c r="BI34" i="17"/>
  <c r="BI59" i="17"/>
  <c r="BI37" i="17"/>
  <c r="BI61" i="17"/>
  <c r="BI62" i="17"/>
  <c r="BI51" i="17"/>
  <c r="BI29" i="17"/>
  <c r="BI41" i="17"/>
  <c r="BI53" i="17"/>
  <c r="BI65" i="17"/>
  <c r="BI31" i="17"/>
  <c r="BI55" i="17"/>
  <c r="BI67" i="17"/>
  <c r="BI44" i="17"/>
  <c r="BI28" i="17"/>
  <c r="BI45" i="17"/>
  <c r="BI58" i="17"/>
  <c r="BI35" i="17"/>
  <c r="BI47" i="17"/>
  <c r="BI36" i="17"/>
  <c r="BI48" i="17"/>
  <c r="BI60" i="17"/>
  <c r="BI49" i="17"/>
  <c r="BI38" i="17"/>
  <c r="BI50" i="17"/>
  <c r="BI39" i="17"/>
  <c r="BI63" i="17"/>
  <c r="BI30" i="17"/>
  <c r="BI42" i="17"/>
  <c r="BI54" i="17"/>
  <c r="BI66" i="17"/>
  <c r="BI43" i="17"/>
  <c r="BI33" i="17"/>
  <c r="BI46" i="17"/>
  <c r="BJ32" i="17"/>
  <c r="BJ44" i="17"/>
  <c r="BJ56" i="17"/>
  <c r="BJ28" i="17"/>
  <c r="BJ36" i="17"/>
  <c r="BJ49" i="17"/>
  <c r="BJ50" i="17"/>
  <c r="BJ39" i="17"/>
  <c r="BJ53" i="17"/>
  <c r="BJ42" i="17"/>
  <c r="BJ43" i="17"/>
  <c r="BJ67" i="17"/>
  <c r="BJ33" i="17"/>
  <c r="BJ45" i="17"/>
  <c r="BJ57" i="17"/>
  <c r="BJ35" i="17"/>
  <c r="BJ59" i="17"/>
  <c r="BJ48" i="17"/>
  <c r="BJ37" i="17"/>
  <c r="BJ62" i="17"/>
  <c r="BJ63" i="17"/>
  <c r="BJ40" i="17"/>
  <c r="BJ64" i="17"/>
  <c r="BJ29" i="17"/>
  <c r="BJ65" i="17"/>
  <c r="BJ30" i="17"/>
  <c r="BJ66" i="17"/>
  <c r="BJ31" i="17"/>
  <c r="BJ34" i="17"/>
  <c r="BJ46" i="17"/>
  <c r="BJ58" i="17"/>
  <c r="BJ47" i="17"/>
  <c r="BJ60" i="17"/>
  <c r="BJ61" i="17"/>
  <c r="BJ38" i="17"/>
  <c r="BJ51" i="17"/>
  <c r="BJ52" i="17"/>
  <c r="BJ41" i="17"/>
  <c r="BJ54" i="17"/>
  <c r="BJ55" i="17"/>
  <c r="E38" i="17"/>
  <c r="BM36" i="17"/>
  <c r="BM48" i="17"/>
  <c r="BM60" i="17"/>
  <c r="BM37" i="17"/>
  <c r="BM49" i="17"/>
  <c r="BM61" i="17"/>
  <c r="BM38" i="17"/>
  <c r="BM50" i="17"/>
  <c r="BM62" i="17"/>
  <c r="BM39" i="17"/>
  <c r="BM51" i="17"/>
  <c r="BM63" i="17"/>
  <c r="BM40" i="17"/>
  <c r="BM52" i="17"/>
  <c r="BM64" i="17"/>
  <c r="BM29" i="17"/>
  <c r="BM41" i="17"/>
  <c r="BM53" i="17"/>
  <c r="BM65" i="17"/>
  <c r="BM30" i="17"/>
  <c r="BM54" i="17"/>
  <c r="BM66" i="17"/>
  <c r="BM67" i="17"/>
  <c r="BM42" i="17"/>
  <c r="BM31" i="17"/>
  <c r="BM43" i="17"/>
  <c r="BM55" i="17"/>
  <c r="BM32" i="17"/>
  <c r="BM44" i="17"/>
  <c r="BM56" i="17"/>
  <c r="BM28" i="17"/>
  <c r="BM46" i="17"/>
  <c r="BM35" i="17"/>
  <c r="BM33" i="17"/>
  <c r="BM45" i="17"/>
  <c r="BM57" i="17"/>
  <c r="BM34" i="17"/>
  <c r="BM58" i="17"/>
  <c r="BM47" i="17"/>
  <c r="BM59" i="17"/>
  <c r="E29" i="17"/>
  <c r="E34" i="17"/>
  <c r="BL32" i="17"/>
  <c r="BL44" i="17"/>
  <c r="BL56" i="17"/>
  <c r="BL28" i="17"/>
  <c r="BL45" i="17"/>
  <c r="BL59" i="17"/>
  <c r="BL34" i="17"/>
  <c r="BL35" i="17"/>
  <c r="BL47" i="17"/>
  <c r="BL36" i="17"/>
  <c r="BL48" i="17"/>
  <c r="BL60" i="17"/>
  <c r="BL31" i="17"/>
  <c r="BL33" i="17"/>
  <c r="BL37" i="17"/>
  <c r="BL49" i="17"/>
  <c r="BL61" i="17"/>
  <c r="BL51" i="17"/>
  <c r="BL63" i="17"/>
  <c r="BL38" i="17"/>
  <c r="BL50" i="17"/>
  <c r="BL62" i="17"/>
  <c r="BL39" i="17"/>
  <c r="BL43" i="17"/>
  <c r="BL58" i="17"/>
  <c r="BL40" i="17"/>
  <c r="BL52" i="17"/>
  <c r="BL64" i="17"/>
  <c r="BL42" i="17"/>
  <c r="BL54" i="17"/>
  <c r="BL67" i="17"/>
  <c r="BL46" i="17"/>
  <c r="BL29" i="17"/>
  <c r="BL41" i="17"/>
  <c r="BL53" i="17"/>
  <c r="BL65" i="17"/>
  <c r="BL30" i="17"/>
  <c r="BL66" i="17"/>
  <c r="BL55" i="17"/>
  <c r="BL57" i="17"/>
  <c r="E37" i="17"/>
  <c r="E59" i="17"/>
  <c r="E52" i="17"/>
  <c r="E47" i="17"/>
  <c r="E45" i="17"/>
  <c r="E55" i="17"/>
  <c r="E66" i="17"/>
  <c r="E54" i="17"/>
  <c r="E58" i="17"/>
  <c r="E65" i="17"/>
  <c r="E36" i="17"/>
  <c r="E46" i="17"/>
  <c r="E53" i="17"/>
  <c r="E35" i="17"/>
  <c r="E57" i="17"/>
  <c r="E41" i="17"/>
  <c r="E64" i="17"/>
  <c r="E30" i="17"/>
  <c r="E56" i="17"/>
  <c r="BK29" i="17"/>
  <c r="BK41" i="17"/>
  <c r="BK53" i="17"/>
  <c r="BK65" i="17"/>
  <c r="D31" i="17"/>
  <c r="D45" i="17"/>
  <c r="D57" i="17"/>
  <c r="BK30" i="17"/>
  <c r="BK42" i="17"/>
  <c r="BK54" i="17"/>
  <c r="BK66" i="17"/>
  <c r="D33" i="17"/>
  <c r="D46" i="17"/>
  <c r="D58" i="17"/>
  <c r="BK31" i="17"/>
  <c r="BK43" i="17"/>
  <c r="BK55" i="17"/>
  <c r="BK67" i="17"/>
  <c r="D34" i="17"/>
  <c r="BK32" i="17"/>
  <c r="BK44" i="17"/>
  <c r="BK56" i="17"/>
  <c r="BK28" i="17"/>
  <c r="D35" i="17"/>
  <c r="D48" i="17"/>
  <c r="D60" i="17"/>
  <c r="BK35" i="17"/>
  <c r="BK47" i="17"/>
  <c r="D51" i="17"/>
  <c r="D53" i="17"/>
  <c r="BK40" i="17"/>
  <c r="D44" i="17"/>
  <c r="D47" i="17"/>
  <c r="BK33" i="17"/>
  <c r="BK45" i="17"/>
  <c r="BK57" i="17"/>
  <c r="D37" i="17"/>
  <c r="D49" i="17"/>
  <c r="D61" i="17"/>
  <c r="BK59" i="17"/>
  <c r="D63" i="17"/>
  <c r="D56" i="17"/>
  <c r="BK34" i="17"/>
  <c r="BK46" i="17"/>
  <c r="BK58" i="17"/>
  <c r="D38" i="17"/>
  <c r="D50" i="17"/>
  <c r="D62" i="17"/>
  <c r="D39" i="17"/>
  <c r="D30" i="17"/>
  <c r="D59" i="17"/>
  <c r="BK36" i="17"/>
  <c r="BK48" i="17"/>
  <c r="BK60" i="17"/>
  <c r="D40" i="17"/>
  <c r="D52" i="17"/>
  <c r="D64" i="17"/>
  <c r="BK37" i="17"/>
  <c r="BK49" i="17"/>
  <c r="BK61" i="17"/>
  <c r="D41" i="17"/>
  <c r="D65" i="17"/>
  <c r="BK64" i="17"/>
  <c r="D28" i="17"/>
  <c r="BK38" i="17"/>
  <c r="BK50" i="17"/>
  <c r="BK62" i="17"/>
  <c r="D42" i="17"/>
  <c r="D54" i="17"/>
  <c r="D66" i="17"/>
  <c r="BK39" i="17"/>
  <c r="BK51" i="17"/>
  <c r="BK63" i="17"/>
  <c r="D29" i="17"/>
  <c r="D43" i="17"/>
  <c r="D55" i="17"/>
  <c r="D67" i="17"/>
  <c r="BK52" i="17"/>
  <c r="D32" i="17"/>
  <c r="D36" i="17"/>
  <c r="E39" i="17"/>
  <c r="E44" i="17"/>
  <c r="E40" i="17"/>
  <c r="E67" i="17"/>
  <c r="E63" i="17"/>
  <c r="E51" i="17"/>
  <c r="E60" i="17"/>
  <c r="E43" i="17"/>
  <c r="E62" i="17"/>
  <c r="E50" i="17"/>
  <c r="E61" i="17"/>
  <c r="E28" i="17"/>
  <c r="E48" i="17"/>
  <c r="E42" i="17"/>
  <c r="E49" i="17"/>
  <c r="BA34" i="17"/>
  <c r="BA46" i="17"/>
  <c r="BA58" i="17"/>
  <c r="BA35" i="17"/>
  <c r="BA47" i="17"/>
  <c r="BA59" i="17"/>
  <c r="BA33" i="17"/>
  <c r="BA36" i="17"/>
  <c r="BA48" i="17"/>
  <c r="BA60" i="17"/>
  <c r="BA57" i="17"/>
  <c r="BA37" i="17"/>
  <c r="BA49" i="17"/>
  <c r="BA61" i="17"/>
  <c r="BA38" i="17"/>
  <c r="BA50" i="17"/>
  <c r="BA62" i="17"/>
  <c r="BA28" i="17"/>
  <c r="BA39" i="17"/>
  <c r="BA51" i="17"/>
  <c r="BA63" i="17"/>
  <c r="BA45" i="17"/>
  <c r="BA40" i="17"/>
  <c r="BA52" i="17"/>
  <c r="BA64" i="17"/>
  <c r="BA29" i="17"/>
  <c r="BA41" i="17"/>
  <c r="BA53" i="17"/>
  <c r="BA65" i="17"/>
  <c r="BA30" i="17"/>
  <c r="BA42" i="17"/>
  <c r="BA54" i="17"/>
  <c r="BA66" i="17"/>
  <c r="BA31" i="17"/>
  <c r="BA43" i="17"/>
  <c r="BA55" i="17"/>
  <c r="BA67" i="17"/>
  <c r="BA32" i="17"/>
  <c r="BA44" i="17"/>
  <c r="BA56" i="17"/>
  <c r="BB40" i="17"/>
  <c r="BB52" i="17"/>
  <c r="BB64" i="17"/>
  <c r="BB51" i="17"/>
  <c r="BB29" i="17"/>
  <c r="BB41" i="17"/>
  <c r="BB53" i="17"/>
  <c r="BB65" i="17"/>
  <c r="BB30" i="17"/>
  <c r="BB42" i="17"/>
  <c r="BB54" i="17"/>
  <c r="BB66" i="17"/>
  <c r="BB31" i="17"/>
  <c r="BB43" i="17"/>
  <c r="BB55" i="17"/>
  <c r="BB67" i="17"/>
  <c r="BB63" i="17"/>
  <c r="BB32" i="17"/>
  <c r="BB44" i="17"/>
  <c r="BB56" i="17"/>
  <c r="BB33" i="17"/>
  <c r="BB45" i="17"/>
  <c r="BB57" i="17"/>
  <c r="BB34" i="17"/>
  <c r="BB46" i="17"/>
  <c r="BB58" i="17"/>
  <c r="BB28" i="17"/>
  <c r="BB35" i="17"/>
  <c r="BB47" i="17"/>
  <c r="BB59" i="17"/>
  <c r="BB36" i="17"/>
  <c r="BB48" i="17"/>
  <c r="BB60" i="17"/>
  <c r="BB37" i="17"/>
  <c r="BB49" i="17"/>
  <c r="BB61" i="17"/>
  <c r="BB39" i="17"/>
  <c r="BB38" i="17"/>
  <c r="BB50" i="17"/>
  <c r="BB62" i="17"/>
  <c r="BC31" i="17"/>
  <c r="BC43" i="17"/>
  <c r="BC55" i="17"/>
  <c r="BC67" i="17"/>
  <c r="BC32" i="17"/>
  <c r="BC44" i="17"/>
  <c r="BC56" i="17"/>
  <c r="BC33" i="17"/>
  <c r="BC45" i="17"/>
  <c r="BC57" i="17"/>
  <c r="BC30" i="17"/>
  <c r="BC34" i="17"/>
  <c r="BC46" i="17"/>
  <c r="BC58" i="17"/>
  <c r="BC35" i="17"/>
  <c r="BC47" i="17"/>
  <c r="BC59" i="17"/>
  <c r="BC28" i="17"/>
  <c r="BC66" i="17"/>
  <c r="BC36" i="17"/>
  <c r="BC48" i="17"/>
  <c r="BC60" i="17"/>
  <c r="BC37" i="17"/>
  <c r="BC49" i="17"/>
  <c r="BC61" i="17"/>
  <c r="BC38" i="17"/>
  <c r="BC50" i="17"/>
  <c r="BC62" i="17"/>
  <c r="BC39" i="17"/>
  <c r="BC51" i="17"/>
  <c r="BC63" i="17"/>
  <c r="BC42" i="17"/>
  <c r="BC40" i="17"/>
  <c r="BC52" i="17"/>
  <c r="BC64" i="17"/>
  <c r="BC29" i="17"/>
  <c r="BC41" i="17"/>
  <c r="BC53" i="17"/>
  <c r="BC65" i="17"/>
  <c r="BC54" i="17"/>
  <c r="F66" i="67"/>
  <c r="AW68" i="17"/>
  <c r="E59" i="67"/>
  <c r="G88" i="67"/>
  <c r="E109" i="67"/>
  <c r="E84" i="67"/>
  <c r="E33" i="67"/>
  <c r="D7" i="92" s="1"/>
  <c r="D243" i="71"/>
  <c r="I158" i="71"/>
  <c r="F201" i="71"/>
  <c r="E201" i="71"/>
  <c r="F88" i="67"/>
  <c r="C317" i="71" a="1"/>
  <c r="C317" i="71" s="1"/>
  <c r="G90" i="67"/>
  <c r="F91" i="67"/>
  <c r="N317" i="71" a="1"/>
  <c r="N317" i="71" s="1"/>
  <c r="I201" i="71"/>
  <c r="H317" i="71" a="1"/>
  <c r="H317" i="71" s="1"/>
  <c r="E319" i="71" a="1"/>
  <c r="E319" i="71" s="1"/>
  <c r="J319" i="71" a="1"/>
  <c r="J319" i="71" s="1"/>
  <c r="K317" i="71" a="1"/>
  <c r="K317" i="71" s="1"/>
  <c r="F64" i="67"/>
  <c r="E202" i="71" s="1"/>
  <c r="S318" i="71" a="1"/>
  <c r="S318" i="71" s="1"/>
  <c r="C319" i="71" a="1"/>
  <c r="C319" i="71" s="1"/>
  <c r="E318" i="71" a="1"/>
  <c r="E318" i="71" s="1"/>
  <c r="G317" i="71" a="1"/>
  <c r="G317" i="71" s="1"/>
  <c r="U318" i="71" a="1"/>
  <c r="U318" i="71" s="1"/>
  <c r="Q317" i="71" a="1"/>
  <c r="Q317" i="71" s="1"/>
  <c r="D319" i="71" a="1"/>
  <c r="D319" i="71" s="1"/>
  <c r="E317" i="71" a="1"/>
  <c r="E317" i="71" s="1"/>
  <c r="Q319" i="71" a="1"/>
  <c r="Q319" i="71" s="1"/>
  <c r="L317" i="71" a="1"/>
  <c r="L317" i="71" s="1"/>
  <c r="V318" i="71" a="1"/>
  <c r="V318" i="71" s="1"/>
  <c r="P318" i="71" a="1"/>
  <c r="P318" i="71" s="1"/>
  <c r="K318" i="71" a="1"/>
  <c r="K318" i="71" s="1"/>
  <c r="S317" i="71" a="1"/>
  <c r="S317" i="71" s="1"/>
  <c r="G319" i="71" a="1"/>
  <c r="G319" i="71" s="1"/>
  <c r="D318" i="71" a="1"/>
  <c r="D318" i="71" s="1"/>
  <c r="N318" i="71" a="1"/>
  <c r="N318" i="71" s="1"/>
  <c r="Q318" i="71" a="1"/>
  <c r="Q318" i="71" s="1"/>
  <c r="F318" i="71" a="1"/>
  <c r="F318" i="71" s="1"/>
  <c r="V319" i="71" a="1"/>
  <c r="V319" i="71" s="1"/>
  <c r="P319" i="71" a="1"/>
  <c r="P319" i="71" s="1"/>
  <c r="O319" i="71" a="1"/>
  <c r="O319" i="71" s="1"/>
  <c r="O318" i="71" a="1"/>
  <c r="O318" i="71" s="1"/>
  <c r="R317" i="71" a="1"/>
  <c r="R317" i="71" s="1"/>
  <c r="M317" i="71" a="1"/>
  <c r="M317" i="71" s="1"/>
  <c r="K319" i="71" a="1"/>
  <c r="K319" i="71" s="1"/>
  <c r="F319" i="71" a="1"/>
  <c r="F319" i="71" s="1"/>
  <c r="F317" i="71" a="1"/>
  <c r="F317" i="71" s="1"/>
  <c r="V317" i="71" a="1"/>
  <c r="V317" i="71" s="1"/>
  <c r="U319" i="71" a="1"/>
  <c r="U319" i="71" s="1"/>
  <c r="L319" i="71" a="1"/>
  <c r="L319" i="71" s="1"/>
  <c r="I318" i="71" a="1"/>
  <c r="I318" i="71" s="1"/>
  <c r="I319" i="71" a="1"/>
  <c r="I319" i="71" s="1"/>
  <c r="N319" i="71" a="1"/>
  <c r="N319" i="71" s="1"/>
  <c r="R318" i="71" a="1"/>
  <c r="R318" i="71" s="1"/>
  <c r="M318" i="71" a="1"/>
  <c r="M318" i="71" s="1"/>
  <c r="P317" i="71" a="1"/>
  <c r="P317" i="71" s="1"/>
  <c r="U317" i="71" a="1"/>
  <c r="U317" i="71" s="1"/>
  <c r="T319" i="71" a="1"/>
  <c r="T319" i="71" s="1"/>
  <c r="H318" i="71" a="1"/>
  <c r="H318" i="71" s="1"/>
  <c r="J317" i="71" a="1"/>
  <c r="J317" i="71" s="1"/>
  <c r="H319" i="71" a="1"/>
  <c r="H319" i="71" s="1"/>
  <c r="I317" i="71" a="1"/>
  <c r="I317" i="71" s="1"/>
  <c r="T317" i="71" a="1"/>
  <c r="T317" i="71" s="1"/>
  <c r="S319" i="71" a="1"/>
  <c r="S319" i="71" s="1"/>
  <c r="M319" i="71" a="1"/>
  <c r="M319" i="71" s="1"/>
  <c r="T318" i="71" a="1"/>
  <c r="T318" i="71" s="1"/>
  <c r="G318" i="71" a="1"/>
  <c r="G318" i="71" s="1"/>
  <c r="L318" i="71" a="1"/>
  <c r="L318" i="71" s="1"/>
  <c r="O317" i="71" a="1"/>
  <c r="O317" i="71" s="1"/>
  <c r="R319" i="71" a="1"/>
  <c r="R319" i="71" s="1"/>
  <c r="J318" i="71" a="1"/>
  <c r="J318" i="71" s="1"/>
  <c r="D314" i="71"/>
  <c r="D315" i="71" s="1"/>
  <c r="D316" i="71" s="1"/>
  <c r="P314" i="71"/>
  <c r="P315" i="71" s="1"/>
  <c r="P316" i="71" s="1"/>
  <c r="E314" i="71"/>
  <c r="E315" i="71" s="1"/>
  <c r="E316" i="71" s="1"/>
  <c r="F314" i="71"/>
  <c r="F315" i="71" s="1"/>
  <c r="F316" i="71" s="1"/>
  <c r="R314" i="71"/>
  <c r="R315" i="71" s="1"/>
  <c r="R316" i="71" s="1"/>
  <c r="G314" i="71"/>
  <c r="G315" i="71" s="1"/>
  <c r="G316" i="71" s="1"/>
  <c r="S314" i="71"/>
  <c r="S315" i="71" s="1"/>
  <c r="S316" i="71" s="1"/>
  <c r="H314" i="71"/>
  <c r="H315" i="71" s="1"/>
  <c r="H316" i="71" s="1"/>
  <c r="T314" i="71"/>
  <c r="T315" i="71" s="1"/>
  <c r="T316" i="71" s="1"/>
  <c r="I314" i="71"/>
  <c r="I315" i="71" s="1"/>
  <c r="I316" i="71" s="1"/>
  <c r="U314" i="71"/>
  <c r="U315" i="71" s="1"/>
  <c r="U316" i="71" s="1"/>
  <c r="J314" i="71"/>
  <c r="J315" i="71" s="1"/>
  <c r="J316" i="71" s="1"/>
  <c r="V314" i="71"/>
  <c r="V315" i="71" s="1"/>
  <c r="V316" i="71" s="1"/>
  <c r="K314" i="71"/>
  <c r="K315" i="71" s="1"/>
  <c r="K316" i="71" s="1"/>
  <c r="L314" i="71"/>
  <c r="L315" i="71" s="1"/>
  <c r="L316" i="71" s="1"/>
  <c r="Q314" i="71"/>
  <c r="Q315" i="71" s="1"/>
  <c r="Q316" i="71" s="1"/>
  <c r="M314" i="71"/>
  <c r="M315" i="71" s="1"/>
  <c r="M316" i="71" s="1"/>
  <c r="N314" i="71"/>
  <c r="N315" i="71" s="1"/>
  <c r="N316" i="71" s="1"/>
  <c r="O314" i="71"/>
  <c r="O315" i="71" s="1"/>
  <c r="O316" i="71" s="1"/>
  <c r="I244" i="71"/>
  <c r="O419" i="56"/>
  <c r="O420" i="56" s="1"/>
  <c r="S421" i="56"/>
  <c r="I419" i="56"/>
  <c r="I420" i="56" s="1"/>
  <c r="U419" i="56"/>
  <c r="U420" i="56" s="1"/>
  <c r="AD32" i="11"/>
  <c r="Q419" i="56"/>
  <c r="Q420" i="56" s="1"/>
  <c r="T419" i="56"/>
  <c r="T420" i="56" s="1"/>
  <c r="R421" i="56"/>
  <c r="F419" i="56"/>
  <c r="F420" i="56" s="1"/>
  <c r="H419" i="56"/>
  <c r="H420" i="56" s="1"/>
  <c r="K421" i="56"/>
  <c r="K419" i="56"/>
  <c r="K420" i="56" s="1"/>
  <c r="E28" i="67"/>
  <c r="D6" i="92" s="1"/>
  <c r="D10" i="92"/>
  <c r="D9" i="92"/>
  <c r="G38" i="67"/>
  <c r="H158" i="71" s="1"/>
  <c r="D8" i="92"/>
  <c r="A323" i="71"/>
  <c r="A331" i="71" s="1"/>
  <c r="A339" i="71" s="1"/>
  <c r="A347" i="71" s="1"/>
  <c r="A355" i="71" s="1"/>
  <c r="A307" i="71"/>
  <c r="A324" i="71"/>
  <c r="A332" i="71" s="1"/>
  <c r="A340" i="71" s="1"/>
  <c r="A348" i="71" s="1"/>
  <c r="A356" i="71" s="1"/>
  <c r="A308" i="71"/>
  <c r="I243" i="71"/>
  <c r="AD26" i="11"/>
  <c r="M206" i="71"/>
  <c r="M202" i="71"/>
  <c r="M163" i="71"/>
  <c r="M159" i="71"/>
  <c r="K159" i="71"/>
  <c r="B163" i="71"/>
  <c r="F205" i="71"/>
  <c r="F107" i="67"/>
  <c r="K244" i="71" s="1"/>
  <c r="F41" i="67"/>
  <c r="G68" i="67"/>
  <c r="X23" i="11"/>
  <c r="G43" i="67"/>
  <c r="K162" i="71" s="1"/>
  <c r="F102" i="67"/>
  <c r="I206" i="71"/>
  <c r="F70" i="67"/>
  <c r="F101" i="67"/>
  <c r="C244" i="71" s="1"/>
  <c r="BJ13" i="11"/>
  <c r="BD14" i="11"/>
  <c r="BF14" i="11"/>
  <c r="BH14" i="11"/>
  <c r="BL14" i="11"/>
  <c r="BJ14" i="11"/>
  <c r="BF13" i="11"/>
  <c r="BM26" i="17"/>
  <c r="G421" i="56"/>
  <c r="G419" i="56"/>
  <c r="G420" i="56" s="1"/>
  <c r="F421" i="56"/>
  <c r="P421" i="56"/>
  <c r="D78" i="17"/>
  <c r="D244" i="56"/>
  <c r="B434" i="56"/>
  <c r="C434" i="56" s="1"/>
  <c r="D434" i="56" s="1"/>
  <c r="C439" i="56"/>
  <c r="C25" i="71" s="1"/>
  <c r="B112" i="71"/>
  <c r="C433" i="56"/>
  <c r="C20" i="71" s="1"/>
  <c r="F244" i="71"/>
  <c r="AA68" i="17"/>
  <c r="F69" i="67"/>
  <c r="G44" i="67"/>
  <c r="B162" i="71" s="1"/>
  <c r="V401" i="71" a="1"/>
  <c r="V401" i="71" s="1"/>
  <c r="I403" i="71" a="1"/>
  <c r="I403" i="71" s="1"/>
  <c r="Q403" i="71" a="1"/>
  <c r="Q403" i="71" s="1"/>
  <c r="P403" i="71" a="1"/>
  <c r="P403" i="71" s="1"/>
  <c r="L403" i="71" a="1"/>
  <c r="L403" i="71" s="1"/>
  <c r="T403" i="71" a="1"/>
  <c r="T403" i="71" s="1"/>
  <c r="D403" i="71" a="1"/>
  <c r="D403" i="71" s="1"/>
  <c r="K403" i="71" a="1"/>
  <c r="K403" i="71" s="1"/>
  <c r="C403" i="71" a="1"/>
  <c r="C403" i="71" s="1"/>
  <c r="V403" i="71" a="1"/>
  <c r="V403" i="71" s="1"/>
  <c r="H403" i="71" a="1"/>
  <c r="H403" i="71" s="1"/>
  <c r="N403" i="71" a="1"/>
  <c r="N403" i="71" s="1"/>
  <c r="E403" i="71" a="1"/>
  <c r="E403" i="71" s="1"/>
  <c r="F403" i="71" a="1"/>
  <c r="F403" i="71" s="1"/>
  <c r="U403" i="71" a="1"/>
  <c r="U403" i="71" s="1"/>
  <c r="J403" i="71" a="1"/>
  <c r="J403" i="71" s="1"/>
  <c r="R403" i="71" a="1"/>
  <c r="R403" i="71" s="1"/>
  <c r="O403" i="71" a="1"/>
  <c r="O403" i="71" s="1"/>
  <c r="S403" i="71" a="1"/>
  <c r="S403" i="71" s="1"/>
  <c r="G403" i="71" a="1"/>
  <c r="G403" i="71" s="1"/>
  <c r="M403" i="71" a="1"/>
  <c r="M403" i="71" s="1"/>
  <c r="D268" i="56"/>
  <c r="F39" i="67"/>
  <c r="D159" i="71" s="1"/>
  <c r="G89" i="67"/>
  <c r="F243" i="71" s="1"/>
  <c r="F38" i="67"/>
  <c r="BL26" i="17"/>
  <c r="B69" i="71"/>
  <c r="B198" i="71"/>
  <c r="B155" i="71"/>
  <c r="A408" i="71"/>
  <c r="A415" i="71" s="1"/>
  <c r="C437" i="56"/>
  <c r="D437" i="56" s="1"/>
  <c r="B68" i="71"/>
  <c r="BF11" i="11"/>
  <c r="BH12" i="11"/>
  <c r="BT14" i="11" a="1"/>
  <c r="BT14" i="11" s="1"/>
  <c r="BF12" i="11"/>
  <c r="BU14" i="11" a="1"/>
  <c r="BU14" i="11" s="1"/>
  <c r="BJ12" i="11"/>
  <c r="BJ11" i="11"/>
  <c r="BH11" i="11"/>
  <c r="BT13" i="11" a="1"/>
  <c r="BT13" i="11" s="1"/>
  <c r="BT12" i="11" a="1"/>
  <c r="BT12" i="11" s="1"/>
  <c r="BU12" i="11" a="1"/>
  <c r="BU12" i="11" s="1"/>
  <c r="BU13" i="11" a="1"/>
  <c r="BU13" i="11" s="1"/>
  <c r="BT11" i="11" a="1"/>
  <c r="BT11" i="11" s="1"/>
  <c r="BU11" i="11" a="1"/>
  <c r="BU11" i="11" s="1"/>
  <c r="BH13" i="11"/>
  <c r="B154" i="71"/>
  <c r="B239" i="71"/>
  <c r="B197" i="71"/>
  <c r="B233" i="71"/>
  <c r="B62" i="71"/>
  <c r="B72" i="71"/>
  <c r="P419" i="56"/>
  <c r="P420" i="56" s="1"/>
  <c r="C317" i="56"/>
  <c r="L162" i="71"/>
  <c r="B105" i="71"/>
  <c r="B247" i="71"/>
  <c r="B148" i="71"/>
  <c r="A223" i="56"/>
  <c r="B223" i="56" s="1"/>
  <c r="A224" i="56" s="1"/>
  <c r="B224" i="56" s="1"/>
  <c r="B248" i="71"/>
  <c r="D220" i="56"/>
  <c r="D428" i="56"/>
  <c r="E428" i="56" s="1"/>
  <c r="C186" i="71"/>
  <c r="C438" i="56"/>
  <c r="C228" i="71"/>
  <c r="C100" i="71"/>
  <c r="B385" i="56"/>
  <c r="B425" i="56" s="1"/>
  <c r="B426" i="56" s="1"/>
  <c r="B13" i="71" s="1"/>
  <c r="B29" i="71"/>
  <c r="B73" i="71" s="1"/>
  <c r="C143" i="71"/>
  <c r="BK26" i="17"/>
  <c r="C431" i="71"/>
  <c r="C236" i="71" s="1"/>
  <c r="C430" i="71"/>
  <c r="C194" i="71" s="1"/>
  <c r="B482" i="71"/>
  <c r="C427" i="71"/>
  <c r="C407" i="71" s="1"/>
  <c r="C66" i="71" s="1"/>
  <c r="C428" i="71"/>
  <c r="C108" i="71" s="1"/>
  <c r="F23" i="67"/>
  <c r="G23" i="67"/>
  <c r="F22" i="67"/>
  <c r="G22" i="67"/>
  <c r="D79" i="17"/>
  <c r="D81" i="17"/>
  <c r="F82" i="67"/>
  <c r="G82" i="67"/>
  <c r="G42" i="67"/>
  <c r="F42" i="67"/>
  <c r="B159" i="71" s="1"/>
  <c r="F206" i="71"/>
  <c r="F202" i="71"/>
  <c r="F103" i="67"/>
  <c r="G103" i="67"/>
  <c r="B243" i="71" s="1"/>
  <c r="F55" i="67"/>
  <c r="G55" i="67"/>
  <c r="I202" i="71"/>
  <c r="B67" i="71"/>
  <c r="B153" i="71"/>
  <c r="B238" i="71"/>
  <c r="B196" i="71"/>
  <c r="D147" i="56"/>
  <c r="D80" i="17"/>
  <c r="D82" i="17"/>
  <c r="C26" i="71"/>
  <c r="D440" i="56"/>
  <c r="H160" i="56"/>
  <c r="C166" i="56" s="1"/>
  <c r="C214" i="56"/>
  <c r="BB10" i="11"/>
  <c r="D196" i="56"/>
  <c r="C309" i="56"/>
  <c r="D292" i="56"/>
  <c r="C332" i="56"/>
  <c r="D315" i="56"/>
  <c r="C190" i="56"/>
  <c r="A272" i="56"/>
  <c r="B272" i="56" s="1"/>
  <c r="C271" i="56"/>
  <c r="C318" i="56"/>
  <c r="A319" i="56"/>
  <c r="B319" i="56" s="1"/>
  <c r="C296" i="56"/>
  <c r="A297" i="56"/>
  <c r="B297" i="56" s="1"/>
  <c r="C247" i="56"/>
  <c r="A248" i="56"/>
  <c r="B248" i="56" s="1"/>
  <c r="F348" i="56"/>
  <c r="C175" i="56"/>
  <c r="D76" i="17"/>
  <c r="V11" i="56"/>
  <c r="D74" i="17"/>
  <c r="C150" i="56"/>
  <c r="A151" i="56"/>
  <c r="B151" i="56" s="1"/>
  <c r="BH57" i="17"/>
  <c r="BP61" i="17"/>
  <c r="BP56" i="17"/>
  <c r="BH30" i="17"/>
  <c r="BH36" i="17"/>
  <c r="BP47" i="17"/>
  <c r="BP32" i="17"/>
  <c r="BH65" i="17"/>
  <c r="BH35" i="17"/>
  <c r="BH58" i="17"/>
  <c r="BP62" i="17"/>
  <c r="BP55" i="17"/>
  <c r="BP30" i="17"/>
  <c r="BP36" i="17"/>
  <c r="BH48" i="17"/>
  <c r="BH37" i="17"/>
  <c r="BH49" i="17"/>
  <c r="BP63" i="17"/>
  <c r="BP54" i="17"/>
  <c r="BH31" i="17"/>
  <c r="BH38" i="17"/>
  <c r="BP48" i="17"/>
  <c r="BH39" i="17"/>
  <c r="BH28" i="17"/>
  <c r="BP39" i="17"/>
  <c r="BP35" i="17"/>
  <c r="BH59" i="17"/>
  <c r="BP64" i="17"/>
  <c r="BP53" i="17"/>
  <c r="BP31" i="17"/>
  <c r="BP38" i="17"/>
  <c r="BH67" i="17"/>
  <c r="BH47" i="17"/>
  <c r="BH60" i="17"/>
  <c r="BP51" i="17"/>
  <c r="BP52" i="17"/>
  <c r="BH32" i="17"/>
  <c r="BP67" i="17"/>
  <c r="BP37" i="17"/>
  <c r="BH61" i="17"/>
  <c r="BP65" i="17"/>
  <c r="BP50" i="17"/>
  <c r="BH56" i="17"/>
  <c r="BH62" i="17"/>
  <c r="BP66" i="17"/>
  <c r="BP49" i="17"/>
  <c r="BH55" i="17"/>
  <c r="BP28" i="17"/>
  <c r="BH29" i="17"/>
  <c r="BH33" i="17"/>
  <c r="BH40" i="17"/>
  <c r="BP59" i="17"/>
  <c r="BP57" i="17"/>
  <c r="BH63" i="17"/>
  <c r="BH54" i="17"/>
  <c r="BH46" i="17"/>
  <c r="BP29" i="17"/>
  <c r="BP33" i="17"/>
  <c r="BP40" i="17"/>
  <c r="BH50" i="17"/>
  <c r="BP58" i="17"/>
  <c r="BH64" i="17"/>
  <c r="BH53" i="17"/>
  <c r="BH45" i="17"/>
  <c r="BH44" i="17"/>
  <c r="BH34" i="17"/>
  <c r="BH41" i="17"/>
  <c r="BP42" i="17"/>
  <c r="BH51" i="17"/>
  <c r="BH52" i="17"/>
  <c r="BP45" i="17"/>
  <c r="BP44" i="17"/>
  <c r="BP34" i="17"/>
  <c r="BH42" i="17"/>
  <c r="BH43" i="17"/>
  <c r="BP60" i="17"/>
  <c r="BH66" i="17"/>
  <c r="C198" i="56"/>
  <c r="A199" i="56"/>
  <c r="B199" i="56" s="1"/>
  <c r="F349" i="56"/>
  <c r="G73" i="71"/>
  <c r="B480" i="71"/>
  <c r="B484" i="71"/>
  <c r="B479" i="71"/>
  <c r="B483" i="71"/>
  <c r="B485" i="71"/>
  <c r="F73" i="71"/>
  <c r="B481" i="71"/>
  <c r="K73" i="71"/>
  <c r="Q284" i="71"/>
  <c r="Q43" i="71"/>
  <c r="Q269" i="71" s="1"/>
  <c r="R284" i="71"/>
  <c r="R43" i="71"/>
  <c r="R269" i="71" s="1"/>
  <c r="B284" i="71"/>
  <c r="B43" i="71"/>
  <c r="B269" i="71" s="1"/>
  <c r="K284" i="71"/>
  <c r="K43" i="71"/>
  <c r="K269" i="71" s="1"/>
  <c r="N284" i="71"/>
  <c r="N43" i="71"/>
  <c r="N269" i="71" s="1"/>
  <c r="L284" i="71"/>
  <c r="L43" i="71"/>
  <c r="L269" i="71" s="1"/>
  <c r="E284" i="71"/>
  <c r="E43" i="71"/>
  <c r="E269" i="71" s="1"/>
  <c r="M284" i="71"/>
  <c r="M43" i="71"/>
  <c r="M269" i="71" s="1"/>
  <c r="I284" i="71"/>
  <c r="I43" i="71"/>
  <c r="I269" i="71" s="1"/>
  <c r="J284" i="71"/>
  <c r="J43" i="71"/>
  <c r="J269" i="71" s="1"/>
  <c r="S284" i="71"/>
  <c r="S43" i="71"/>
  <c r="S269" i="71" s="1"/>
  <c r="U284" i="71"/>
  <c r="U43" i="71"/>
  <c r="U269" i="71" s="1"/>
  <c r="P284" i="71"/>
  <c r="P43" i="71"/>
  <c r="P269" i="71" s="1"/>
  <c r="T284" i="71"/>
  <c r="T43" i="71"/>
  <c r="T269" i="71" s="1"/>
  <c r="O284" i="71"/>
  <c r="O43" i="71"/>
  <c r="O269" i="71" s="1"/>
  <c r="G284" i="71"/>
  <c r="G43" i="71"/>
  <c r="G269" i="71" s="1"/>
  <c r="F284" i="71"/>
  <c r="F43" i="71"/>
  <c r="F269" i="71" s="1"/>
  <c r="L73" i="71"/>
  <c r="L116" i="71"/>
  <c r="O73" i="71"/>
  <c r="O116" i="71"/>
  <c r="T116" i="71"/>
  <c r="T73" i="71"/>
  <c r="J116" i="71"/>
  <c r="E73" i="71"/>
  <c r="E116" i="71"/>
  <c r="C480" i="71"/>
  <c r="C479" i="71"/>
  <c r="E474" i="71"/>
  <c r="D475" i="71"/>
  <c r="D478" i="71"/>
  <c r="D479" i="71" s="1"/>
  <c r="C485" i="71"/>
  <c r="A407" i="71"/>
  <c r="A414" i="71" s="1"/>
  <c r="A468" i="71"/>
  <c r="D411" i="71"/>
  <c r="D237" i="71" s="1"/>
  <c r="E406" i="71"/>
  <c r="D410" i="71"/>
  <c r="D195" i="71" s="1"/>
  <c r="D413" i="71"/>
  <c r="D421" i="71" s="1"/>
  <c r="D416" i="71" s="1"/>
  <c r="D409" i="71"/>
  <c r="D152" i="71" s="1"/>
  <c r="F426" i="71"/>
  <c r="G21" i="67"/>
  <c r="F21" i="67"/>
  <c r="F20" i="67"/>
  <c r="G20" i="67"/>
  <c r="C28" i="17" l="1"/>
  <c r="AZ38" i="17"/>
  <c r="AZ50" i="17"/>
  <c r="AZ62" i="17"/>
  <c r="AZ49" i="17"/>
  <c r="AZ39" i="17"/>
  <c r="AZ51" i="17"/>
  <c r="AZ63" i="17"/>
  <c r="AZ40" i="17"/>
  <c r="AZ52" i="17"/>
  <c r="AZ64" i="17"/>
  <c r="AZ37" i="17"/>
  <c r="AZ29" i="17"/>
  <c r="AZ41" i="17"/>
  <c r="AZ53" i="17"/>
  <c r="AZ65" i="17"/>
  <c r="AZ30" i="17"/>
  <c r="AZ42" i="17"/>
  <c r="AZ54" i="17"/>
  <c r="AZ66" i="17"/>
  <c r="AZ61" i="17"/>
  <c r="AZ31" i="17"/>
  <c r="AZ43" i="17"/>
  <c r="AZ55" i="17"/>
  <c r="AZ67" i="17"/>
  <c r="AZ32" i="17"/>
  <c r="AZ44" i="17"/>
  <c r="AZ56" i="17"/>
  <c r="AZ28" i="17"/>
  <c r="AZ33" i="17"/>
  <c r="AZ45" i="17"/>
  <c r="AZ57" i="17"/>
  <c r="AZ34" i="17"/>
  <c r="AZ46" i="17"/>
  <c r="AZ58" i="17"/>
  <c r="AZ35" i="17"/>
  <c r="AZ47" i="17"/>
  <c r="AZ59" i="17"/>
  <c r="AZ36" i="17"/>
  <c r="AZ48" i="17"/>
  <c r="AZ60" i="17"/>
  <c r="AY29" i="17"/>
  <c r="AY42" i="17"/>
  <c r="AY54" i="17"/>
  <c r="AY66" i="17"/>
  <c r="BD66" i="17" s="1"/>
  <c r="P42" i="17"/>
  <c r="P54" i="17"/>
  <c r="P66" i="17"/>
  <c r="AY30" i="17"/>
  <c r="AY43" i="17"/>
  <c r="AY55" i="17"/>
  <c r="AY67" i="17"/>
  <c r="P29" i="17"/>
  <c r="P43" i="17"/>
  <c r="P55" i="17"/>
  <c r="P67" i="17"/>
  <c r="AY53" i="17"/>
  <c r="AY32" i="17"/>
  <c r="AY44" i="17"/>
  <c r="AY56" i="17"/>
  <c r="AY28" i="17"/>
  <c r="P30" i="17"/>
  <c r="P44" i="17"/>
  <c r="P56" i="17"/>
  <c r="P28" i="17"/>
  <c r="AY33" i="17"/>
  <c r="AY45" i="17"/>
  <c r="AY57" i="17"/>
  <c r="P31" i="17"/>
  <c r="P45" i="17"/>
  <c r="P57" i="17"/>
  <c r="AY65" i="17"/>
  <c r="AY34" i="17"/>
  <c r="AY46" i="17"/>
  <c r="AY58" i="17"/>
  <c r="P33" i="17"/>
  <c r="P46" i="17"/>
  <c r="P58" i="17"/>
  <c r="AY41" i="17"/>
  <c r="AY35" i="17"/>
  <c r="AY47" i="17"/>
  <c r="AY59" i="17"/>
  <c r="P34" i="17"/>
  <c r="P47" i="17"/>
  <c r="P59" i="17"/>
  <c r="AY36" i="17"/>
  <c r="AY48" i="17"/>
  <c r="AY60" i="17"/>
  <c r="BD60" i="17" s="1"/>
  <c r="P35" i="17"/>
  <c r="P48" i="17"/>
  <c r="P60" i="17"/>
  <c r="AY37" i="17"/>
  <c r="AY49" i="17"/>
  <c r="BD49" i="17" s="1"/>
  <c r="AY61" i="17"/>
  <c r="P37" i="17"/>
  <c r="P49" i="17"/>
  <c r="P61" i="17"/>
  <c r="P53" i="17"/>
  <c r="AY38" i="17"/>
  <c r="BD38" i="17" s="1"/>
  <c r="AY50" i="17"/>
  <c r="BD50" i="17" s="1"/>
  <c r="AY62" i="17"/>
  <c r="P38" i="17"/>
  <c r="P50" i="17"/>
  <c r="P62" i="17"/>
  <c r="P65" i="17"/>
  <c r="AY31" i="17"/>
  <c r="AY39" i="17"/>
  <c r="AY51" i="17"/>
  <c r="AY63" i="17"/>
  <c r="P39" i="17"/>
  <c r="P51" i="17"/>
  <c r="P63" i="17"/>
  <c r="AY40" i="17"/>
  <c r="AY52" i="17"/>
  <c r="AY64" i="17"/>
  <c r="P40" i="17"/>
  <c r="P52" i="17"/>
  <c r="P64" i="17"/>
  <c r="P41" i="17"/>
  <c r="P32" i="17"/>
  <c r="P36" i="17"/>
  <c r="E31" i="17"/>
  <c r="E32" i="17"/>
  <c r="E33" i="17"/>
  <c r="H243" i="71"/>
  <c r="F59" i="67"/>
  <c r="E8" i="92" s="1"/>
  <c r="H244" i="71"/>
  <c r="F109" i="67"/>
  <c r="E10" i="92" s="1"/>
  <c r="F33" i="67"/>
  <c r="N28" i="71"/>
  <c r="M28" i="71"/>
  <c r="N29" i="71"/>
  <c r="N116" i="71" s="1"/>
  <c r="M29" i="71"/>
  <c r="S28" i="71"/>
  <c r="R28" i="71"/>
  <c r="S29" i="71"/>
  <c r="S73" i="71" s="1"/>
  <c r="R29" i="71"/>
  <c r="X32" i="11"/>
  <c r="B202" i="71"/>
  <c r="AD25" i="11"/>
  <c r="AD30" i="11"/>
  <c r="X25" i="11"/>
  <c r="X24" i="11"/>
  <c r="BD12" i="11"/>
  <c r="C21" i="71"/>
  <c r="C106" i="71" s="1"/>
  <c r="AD31" i="11"/>
  <c r="X30" i="11"/>
  <c r="BS28" i="17"/>
  <c r="AD27" i="11"/>
  <c r="AD34" i="11"/>
  <c r="X31" i="11"/>
  <c r="X34" i="11"/>
  <c r="X27" i="11"/>
  <c r="F28" i="67"/>
  <c r="E6" i="92" s="1"/>
  <c r="AD28" i="11"/>
  <c r="F84" i="67"/>
  <c r="E9" i="92" s="1"/>
  <c r="C158" i="71"/>
  <c r="X29" i="11"/>
  <c r="X28" i="11"/>
  <c r="D439" i="56"/>
  <c r="E439" i="56" s="1"/>
  <c r="BD13" i="11"/>
  <c r="AD29" i="11"/>
  <c r="AD33" i="11"/>
  <c r="X26" i="11"/>
  <c r="BS14" i="11" a="1"/>
  <c r="BS14" i="11" s="1"/>
  <c r="BS13" i="11" a="1"/>
  <c r="BS13" i="11" s="1"/>
  <c r="BS11" i="11" a="1"/>
  <c r="BS11" i="11" s="1"/>
  <c r="AD24" i="11"/>
  <c r="BD11" i="11"/>
  <c r="BS12" i="11" a="1"/>
  <c r="BS12" i="11" s="1"/>
  <c r="X33" i="11"/>
  <c r="BB12" i="11"/>
  <c r="AD23" i="11"/>
  <c r="I159" i="71"/>
  <c r="H159" i="71"/>
  <c r="K158" i="71"/>
  <c r="C201" i="71"/>
  <c r="M205" i="71"/>
  <c r="M201" i="71"/>
  <c r="M162" i="71"/>
  <c r="M158" i="71"/>
  <c r="F158" i="71"/>
  <c r="C205" i="71"/>
  <c r="F159" i="71"/>
  <c r="W23" i="11"/>
  <c r="C206" i="71"/>
  <c r="D248" i="71"/>
  <c r="D244" i="71"/>
  <c r="C223" i="56"/>
  <c r="AV36" i="17"/>
  <c r="AV33" i="17"/>
  <c r="AV29" i="17"/>
  <c r="AV67" i="17"/>
  <c r="AV48" i="17"/>
  <c r="AV39" i="17"/>
  <c r="AV41" i="17"/>
  <c r="AV60" i="17"/>
  <c r="AV51" i="17"/>
  <c r="AV53" i="17"/>
  <c r="CJ29" i="17"/>
  <c r="AV32" i="17"/>
  <c r="AV63" i="17"/>
  <c r="AV65" i="17"/>
  <c r="CJ41" i="17"/>
  <c r="AV45" i="17"/>
  <c r="AV28" i="17"/>
  <c r="AV44" i="17"/>
  <c r="AV37" i="17"/>
  <c r="AV57" i="17"/>
  <c r="AV30" i="17"/>
  <c r="AV49" i="17"/>
  <c r="AV34" i="17"/>
  <c r="AV42" i="17"/>
  <c r="CJ30" i="17"/>
  <c r="AV61" i="17"/>
  <c r="AV40" i="17"/>
  <c r="AV54" i="17"/>
  <c r="CJ46" i="17"/>
  <c r="CJ37" i="17"/>
  <c r="AV46" i="17"/>
  <c r="AV52" i="17"/>
  <c r="AV66" i="17"/>
  <c r="AV35" i="17"/>
  <c r="AV38" i="17"/>
  <c r="AV64" i="17"/>
  <c r="AV31" i="17"/>
  <c r="CJ40" i="17"/>
  <c r="AV47" i="17"/>
  <c r="AV50" i="17"/>
  <c r="AV56" i="17"/>
  <c r="AV43" i="17"/>
  <c r="CJ31" i="17"/>
  <c r="CJ38" i="17"/>
  <c r="AV59" i="17"/>
  <c r="AV62" i="17"/>
  <c r="AV58" i="17"/>
  <c r="AV55" i="17"/>
  <c r="C202" i="71"/>
  <c r="D433" i="56"/>
  <c r="D20" i="71" s="1"/>
  <c r="B21" i="71"/>
  <c r="C23" i="71"/>
  <c r="C238" i="71" s="1"/>
  <c r="Y403" i="71"/>
  <c r="X403" i="71"/>
  <c r="AA403" i="71"/>
  <c r="Z403" i="71"/>
  <c r="C163" i="71"/>
  <c r="F163" i="71"/>
  <c r="C162" i="71"/>
  <c r="F162" i="71"/>
  <c r="C159" i="71"/>
  <c r="C423" i="71"/>
  <c r="C418" i="71" s="1"/>
  <c r="D415" i="71"/>
  <c r="C422" i="71"/>
  <c r="C417" i="71" s="1"/>
  <c r="D414" i="71"/>
  <c r="C76" i="71"/>
  <c r="C119" i="71"/>
  <c r="D15" i="71"/>
  <c r="D57" i="71" s="1"/>
  <c r="C425" i="56"/>
  <c r="C426" i="56" s="1"/>
  <c r="C13" i="71" s="1"/>
  <c r="C29" i="71"/>
  <c r="C33" i="71"/>
  <c r="C77" i="71"/>
  <c r="C120" i="71"/>
  <c r="C32" i="71"/>
  <c r="C28" i="71"/>
  <c r="C115" i="71" s="1"/>
  <c r="B427" i="56"/>
  <c r="B429" i="56" s="1"/>
  <c r="B432" i="56" s="1"/>
  <c r="B19" i="71" s="1"/>
  <c r="B61" i="71" s="1"/>
  <c r="B184" i="71"/>
  <c r="B55" i="71"/>
  <c r="B226" i="71"/>
  <c r="B141" i="71"/>
  <c r="B98" i="71"/>
  <c r="B116" i="71"/>
  <c r="B205" i="71"/>
  <c r="D438" i="56"/>
  <c r="C24" i="71"/>
  <c r="B12" i="71"/>
  <c r="B54" i="71" s="1"/>
  <c r="B201" i="71"/>
  <c r="D73" i="17"/>
  <c r="W29" i="11"/>
  <c r="D430" i="71"/>
  <c r="D194" i="71" s="1"/>
  <c r="D428" i="71"/>
  <c r="D108" i="71" s="1"/>
  <c r="E415" i="71" s="1"/>
  <c r="D431" i="71"/>
  <c r="D236" i="71" s="1"/>
  <c r="D429" i="71"/>
  <c r="D151" i="71" s="1"/>
  <c r="D427" i="71"/>
  <c r="D407" i="71" s="1"/>
  <c r="D66" i="71" s="1"/>
  <c r="E414" i="71" s="1"/>
  <c r="Q28" i="71"/>
  <c r="U28" i="71"/>
  <c r="Q29" i="71"/>
  <c r="U29" i="71"/>
  <c r="I28" i="71"/>
  <c r="P28" i="71"/>
  <c r="I29" i="71"/>
  <c r="P29" i="71"/>
  <c r="B206" i="71"/>
  <c r="BI14" i="11"/>
  <c r="W27" i="11"/>
  <c r="B158" i="71"/>
  <c r="B244" i="71"/>
  <c r="BG14" i="11"/>
  <c r="W26" i="11"/>
  <c r="BS31" i="17"/>
  <c r="BS65" i="17"/>
  <c r="BS62" i="17"/>
  <c r="D26" i="71"/>
  <c r="E440" i="56"/>
  <c r="W24" i="11"/>
  <c r="C241" i="71"/>
  <c r="C113" i="71"/>
  <c r="C70" i="71"/>
  <c r="C199" i="71"/>
  <c r="C156" i="71"/>
  <c r="D21" i="71"/>
  <c r="E434" i="56"/>
  <c r="C63" i="71"/>
  <c r="C149" i="71"/>
  <c r="C234" i="71"/>
  <c r="F428" i="56"/>
  <c r="E15" i="71"/>
  <c r="W31" i="11"/>
  <c r="BS45" i="17"/>
  <c r="BS33" i="17"/>
  <c r="D23" i="71"/>
  <c r="E437" i="56"/>
  <c r="C233" i="71"/>
  <c r="C191" i="71"/>
  <c r="C105" i="71"/>
  <c r="C62" i="71"/>
  <c r="C148" i="71"/>
  <c r="C240" i="71"/>
  <c r="C69" i="71"/>
  <c r="C198" i="71"/>
  <c r="C112" i="71"/>
  <c r="C155" i="71"/>
  <c r="AC23" i="11"/>
  <c r="F347" i="56"/>
  <c r="U436" i="56" s="1"/>
  <c r="BS48" i="17"/>
  <c r="BS40" i="17"/>
  <c r="W34" i="11"/>
  <c r="W32" i="11"/>
  <c r="W30" i="11"/>
  <c r="BJ26" i="17"/>
  <c r="W28" i="11"/>
  <c r="BS57" i="17"/>
  <c r="BS53" i="17"/>
  <c r="W33" i="11"/>
  <c r="W25" i="11"/>
  <c r="BS59" i="17"/>
  <c r="BS29" i="17"/>
  <c r="C272" i="56"/>
  <c r="A273" i="56"/>
  <c r="B273" i="56" s="1"/>
  <c r="A320" i="56"/>
  <c r="B320" i="56" s="1"/>
  <c r="C319" i="56"/>
  <c r="C297" i="56"/>
  <c r="A298" i="56"/>
  <c r="B298" i="56" s="1"/>
  <c r="C248" i="56"/>
  <c r="A249" i="56"/>
  <c r="B249" i="56" s="1"/>
  <c r="C224" i="56"/>
  <c r="A225" i="56"/>
  <c r="B225" i="56" s="1"/>
  <c r="BI68" i="17"/>
  <c r="C176" i="56"/>
  <c r="BS37" i="17"/>
  <c r="BS58" i="17"/>
  <c r="BS30" i="17"/>
  <c r="BS42" i="17"/>
  <c r="BI12" i="11"/>
  <c r="BS60" i="17"/>
  <c r="BS64" i="17"/>
  <c r="BS56" i="17"/>
  <c r="BS67" i="17"/>
  <c r="BS35" i="17"/>
  <c r="BS36" i="17"/>
  <c r="BS61" i="17"/>
  <c r="BS34" i="17"/>
  <c r="BS39" i="17"/>
  <c r="BS44" i="17"/>
  <c r="BS52" i="17"/>
  <c r="BH68" i="17"/>
  <c r="BS55" i="17"/>
  <c r="BS51" i="17"/>
  <c r="C151" i="56"/>
  <c r="I151" i="56" s="1"/>
  <c r="A152" i="56"/>
  <c r="B152" i="56" s="1"/>
  <c r="BS49" i="17"/>
  <c r="I150" i="56"/>
  <c r="BS66" i="17"/>
  <c r="BS38" i="17"/>
  <c r="BS54" i="17"/>
  <c r="BS32" i="17"/>
  <c r="BG58" i="17"/>
  <c r="BG28" i="17"/>
  <c r="BG30" i="17"/>
  <c r="BG43" i="17"/>
  <c r="BG38" i="17"/>
  <c r="BG36" i="17"/>
  <c r="BG59" i="17"/>
  <c r="BG46" i="17"/>
  <c r="BG32" i="17"/>
  <c r="BG47" i="17"/>
  <c r="BG60" i="17"/>
  <c r="BG40" i="17"/>
  <c r="BG66" i="17"/>
  <c r="BG57" i="17"/>
  <c r="BG61" i="17"/>
  <c r="BG56" i="17"/>
  <c r="BG35" i="17"/>
  <c r="BG67" i="17"/>
  <c r="BG62" i="17"/>
  <c r="BG55" i="17"/>
  <c r="BG29" i="17"/>
  <c r="BG42" i="17"/>
  <c r="BG63" i="17"/>
  <c r="BG54" i="17"/>
  <c r="BG37" i="17"/>
  <c r="BG64" i="17"/>
  <c r="BG53" i="17"/>
  <c r="BG44" i="17"/>
  <c r="BG31" i="17"/>
  <c r="BG45" i="17"/>
  <c r="BG51" i="17"/>
  <c r="BG52" i="17"/>
  <c r="BG39" i="17"/>
  <c r="BG65" i="17"/>
  <c r="BG49" i="17"/>
  <c r="BG50" i="17"/>
  <c r="BG33" i="17"/>
  <c r="BG34" i="17"/>
  <c r="BG48" i="17"/>
  <c r="BG41" i="17"/>
  <c r="BS50" i="17"/>
  <c r="BS63" i="17"/>
  <c r="BS47" i="17"/>
  <c r="BG13" i="11"/>
  <c r="BI13" i="11"/>
  <c r="BI11" i="11"/>
  <c r="AC33" i="11"/>
  <c r="AC24" i="11"/>
  <c r="AC34" i="11"/>
  <c r="AC27" i="11"/>
  <c r="AC25" i="11"/>
  <c r="AC28" i="11"/>
  <c r="AC26" i="11"/>
  <c r="BG12" i="11"/>
  <c r="AC31" i="11"/>
  <c r="C199" i="56"/>
  <c r="A200" i="56"/>
  <c r="B200" i="56" s="1"/>
  <c r="AC30" i="11"/>
  <c r="BG11" i="11"/>
  <c r="D77" i="17"/>
  <c r="AC32" i="11"/>
  <c r="AC29" i="11"/>
  <c r="H120" i="71"/>
  <c r="D120" i="71"/>
  <c r="H77" i="71"/>
  <c r="D77" i="71"/>
  <c r="D33" i="71"/>
  <c r="D32" i="71"/>
  <c r="E475" i="71"/>
  <c r="E478" i="71"/>
  <c r="F474" i="71"/>
  <c r="D485" i="71"/>
  <c r="D480" i="71"/>
  <c r="H29" i="71"/>
  <c r="H73" i="71" s="1"/>
  <c r="H33" i="71"/>
  <c r="H28" i="71"/>
  <c r="H32" i="71"/>
  <c r="E411" i="71"/>
  <c r="E237" i="71" s="1"/>
  <c r="F406" i="71"/>
  <c r="E410" i="71"/>
  <c r="E195" i="71" s="1"/>
  <c r="E409" i="71"/>
  <c r="E152" i="71" s="1"/>
  <c r="E413" i="71"/>
  <c r="E421" i="71" s="1"/>
  <c r="G426" i="71"/>
  <c r="D29" i="71"/>
  <c r="D28" i="71"/>
  <c r="BD63" i="17" l="1"/>
  <c r="BD57" i="17"/>
  <c r="BD45" i="17"/>
  <c r="BD31" i="17"/>
  <c r="BD33" i="17"/>
  <c r="BD53" i="17"/>
  <c r="S116" i="71"/>
  <c r="BD41" i="17"/>
  <c r="BD42" i="17"/>
  <c r="BD52" i="17"/>
  <c r="BD46" i="17"/>
  <c r="BD51" i="17"/>
  <c r="BD39" i="17"/>
  <c r="BD48" i="17"/>
  <c r="BD65" i="17"/>
  <c r="BD56" i="17"/>
  <c r="BD44" i="17"/>
  <c r="BD64" i="17"/>
  <c r="BD40" i="17"/>
  <c r="BD62" i="17"/>
  <c r="BD47" i="17"/>
  <c r="BD29" i="17"/>
  <c r="BD67" i="17"/>
  <c r="BD58" i="17"/>
  <c r="BD55" i="17"/>
  <c r="BD34" i="17"/>
  <c r="BD28" i="17"/>
  <c r="BD30" i="17"/>
  <c r="BD61" i="17"/>
  <c r="BD59" i="17"/>
  <c r="BD32" i="17"/>
  <c r="BD37" i="17"/>
  <c r="BD35" i="17"/>
  <c r="BD54" i="17"/>
  <c r="BD36" i="17"/>
  <c r="BD43" i="17"/>
  <c r="N73" i="71"/>
  <c r="M73" i="71"/>
  <c r="M116" i="71"/>
  <c r="R116" i="71"/>
  <c r="R73" i="71"/>
  <c r="C192" i="71"/>
  <c r="D25" i="71"/>
  <c r="E7" i="92"/>
  <c r="D143" i="71"/>
  <c r="D228" i="71"/>
  <c r="D100" i="71"/>
  <c r="D425" i="56"/>
  <c r="D12" i="71" s="1"/>
  <c r="C12" i="71"/>
  <c r="BE13" i="11"/>
  <c r="BE11" i="11"/>
  <c r="BE14" i="11"/>
  <c r="BE12" i="11"/>
  <c r="CI39" i="17"/>
  <c r="CJ39" i="17"/>
  <c r="CJ35" i="17"/>
  <c r="CI35" i="17"/>
  <c r="CJ36" i="17"/>
  <c r="CI36" i="17"/>
  <c r="C67" i="71"/>
  <c r="C153" i="71"/>
  <c r="C196" i="71"/>
  <c r="C110" i="71"/>
  <c r="CJ34" i="17"/>
  <c r="CI34" i="17"/>
  <c r="AB403" i="71"/>
  <c r="AD34" i="17"/>
  <c r="AE34" i="17"/>
  <c r="AF34" i="17"/>
  <c r="AG34" i="17"/>
  <c r="AH34" i="17"/>
  <c r="AI34" i="17"/>
  <c r="AJ34" i="17"/>
  <c r="AK34" i="17"/>
  <c r="AG36" i="17"/>
  <c r="AH36" i="17"/>
  <c r="AI36" i="17"/>
  <c r="AJ36" i="17"/>
  <c r="AK36" i="17"/>
  <c r="AL36" i="17"/>
  <c r="AM36" i="17"/>
  <c r="AN36" i="17"/>
  <c r="AO36" i="17"/>
  <c r="AP36" i="17"/>
  <c r="AJ38" i="17"/>
  <c r="AK38" i="17"/>
  <c r="AD38" i="17"/>
  <c r="AE38" i="17"/>
  <c r="AF38" i="17"/>
  <c r="AG38" i="17"/>
  <c r="AH38" i="17"/>
  <c r="AI38" i="17"/>
  <c r="AJ35" i="17"/>
  <c r="AK35" i="17"/>
  <c r="AG35" i="17"/>
  <c r="AH35" i="17"/>
  <c r="AI35" i="17"/>
  <c r="AP37" i="17"/>
  <c r="AG37" i="17"/>
  <c r="AH37" i="17"/>
  <c r="AI37" i="17"/>
  <c r="AJ37" i="17"/>
  <c r="AK37" i="17"/>
  <c r="AL37" i="17"/>
  <c r="AM37" i="17"/>
  <c r="AN37" i="17"/>
  <c r="AO37" i="17"/>
  <c r="V402" i="71" a="1"/>
  <c r="V402" i="71" s="1"/>
  <c r="AG39" i="17"/>
  <c r="AH39" i="17"/>
  <c r="AI39" i="17"/>
  <c r="AJ39" i="17"/>
  <c r="AK39" i="17"/>
  <c r="AL39" i="17"/>
  <c r="AM39" i="17"/>
  <c r="AN39" i="17"/>
  <c r="AO39" i="17"/>
  <c r="AP39" i="17"/>
  <c r="AU33" i="17"/>
  <c r="AL33" i="17"/>
  <c r="AM33" i="17"/>
  <c r="AN33" i="17"/>
  <c r="AO33" i="17"/>
  <c r="AP33" i="17"/>
  <c r="AQ33" i="17"/>
  <c r="AR33" i="17"/>
  <c r="AS33" i="17"/>
  <c r="AT33" i="17"/>
  <c r="AU32" i="17"/>
  <c r="AL32" i="17"/>
  <c r="AM32" i="17"/>
  <c r="AN32" i="17"/>
  <c r="AO32" i="17"/>
  <c r="AP32" i="17"/>
  <c r="AQ32" i="17"/>
  <c r="AR32" i="17"/>
  <c r="AS32" i="17"/>
  <c r="AT32" i="17"/>
  <c r="AN31" i="17"/>
  <c r="AO31" i="17"/>
  <c r="AP31" i="17"/>
  <c r="AL31" i="17"/>
  <c r="AM31" i="17"/>
  <c r="AL30" i="17"/>
  <c r="AM30" i="17"/>
  <c r="AN30" i="17"/>
  <c r="AO30" i="17"/>
  <c r="AP30" i="17"/>
  <c r="AQ30" i="17"/>
  <c r="AR30" i="17"/>
  <c r="AU30" i="17"/>
  <c r="AS30" i="17"/>
  <c r="AT30" i="17"/>
  <c r="C47" i="17"/>
  <c r="W47" i="17" s="1"/>
  <c r="E433" i="56"/>
  <c r="E20" i="71" s="1"/>
  <c r="AC38" i="17"/>
  <c r="AB38" i="17"/>
  <c r="AI40" i="17"/>
  <c r="AB40" i="17"/>
  <c r="AC40" i="17"/>
  <c r="AD40" i="17"/>
  <c r="AE40" i="17"/>
  <c r="AF40" i="17"/>
  <c r="AG40" i="17"/>
  <c r="AH40" i="17"/>
  <c r="AD35" i="17"/>
  <c r="AE35" i="17"/>
  <c r="AF35" i="17"/>
  <c r="AC35" i="17"/>
  <c r="AB35" i="17"/>
  <c r="AB37" i="17"/>
  <c r="AC37" i="17"/>
  <c r="AD37" i="17"/>
  <c r="AE37" i="17"/>
  <c r="AF37" i="17"/>
  <c r="P68" i="17"/>
  <c r="AJ32" i="17"/>
  <c r="AK32" i="17"/>
  <c r="AB32" i="17"/>
  <c r="AD32" i="17"/>
  <c r="AE32" i="17"/>
  <c r="AF32" i="17"/>
  <c r="AG32" i="17"/>
  <c r="AH32" i="17"/>
  <c r="AC32" i="17"/>
  <c r="AI32" i="17"/>
  <c r="AD41" i="17"/>
  <c r="AB41" i="17"/>
  <c r="AE41" i="17"/>
  <c r="AF41" i="17"/>
  <c r="AG41" i="17"/>
  <c r="AH41" i="17"/>
  <c r="AI41" i="17"/>
  <c r="AC41" i="17"/>
  <c r="AL43" i="17"/>
  <c r="AF43" i="17"/>
  <c r="AM43" i="17"/>
  <c r="AR43" i="17"/>
  <c r="AB43" i="17"/>
  <c r="AG43" i="17"/>
  <c r="AN43" i="17"/>
  <c r="AS43" i="17"/>
  <c r="AC43" i="17"/>
  <c r="AH43" i="17"/>
  <c r="AO43" i="17"/>
  <c r="AT43" i="17"/>
  <c r="AD43" i="17"/>
  <c r="AI43" i="17"/>
  <c r="AP43" i="17"/>
  <c r="AU43" i="17"/>
  <c r="AK43" i="17"/>
  <c r="AE43" i="17"/>
  <c r="AQ43" i="17"/>
  <c r="AJ43" i="17"/>
  <c r="AF39" i="17"/>
  <c r="AB39" i="17"/>
  <c r="AC39" i="17"/>
  <c r="AD39" i="17"/>
  <c r="AE39" i="17"/>
  <c r="AK48" i="17"/>
  <c r="AG48" i="17"/>
  <c r="AF48" i="17"/>
  <c r="AL48" i="17"/>
  <c r="AM48" i="17"/>
  <c r="AB48" i="17"/>
  <c r="AH48" i="17"/>
  <c r="AN48" i="17"/>
  <c r="AT48" i="17"/>
  <c r="AE48" i="17"/>
  <c r="AR48" i="17"/>
  <c r="AC48" i="17"/>
  <c r="AI48" i="17"/>
  <c r="AO48" i="17"/>
  <c r="AU48" i="17"/>
  <c r="AD48" i="17"/>
  <c r="AS48" i="17"/>
  <c r="AP48" i="17"/>
  <c r="AJ48" i="17"/>
  <c r="AQ48" i="17"/>
  <c r="AN42" i="17"/>
  <c r="AF42" i="17"/>
  <c r="AH42" i="17"/>
  <c r="AS42" i="17"/>
  <c r="AT42" i="17"/>
  <c r="AC42" i="17"/>
  <c r="AI42" i="17"/>
  <c r="AO42" i="17"/>
  <c r="AU42" i="17"/>
  <c r="AR42" i="17"/>
  <c r="AG42" i="17"/>
  <c r="AD42" i="17"/>
  <c r="AJ42" i="17"/>
  <c r="AP42" i="17"/>
  <c r="AK42" i="17"/>
  <c r="AE42" i="17"/>
  <c r="AL42" i="17"/>
  <c r="AQ42" i="17"/>
  <c r="AM42" i="17"/>
  <c r="AB42" i="17"/>
  <c r="AE44" i="17"/>
  <c r="AO44" i="17"/>
  <c r="AF44" i="17"/>
  <c r="AB44" i="17"/>
  <c r="AG44" i="17"/>
  <c r="AN44" i="17"/>
  <c r="AC44" i="17"/>
  <c r="AH44" i="17"/>
  <c r="AI44" i="17"/>
  <c r="AJ44" i="17"/>
  <c r="AK44" i="17"/>
  <c r="AD44" i="17"/>
  <c r="AL44" i="17"/>
  <c r="AP44" i="17"/>
  <c r="AM44" i="17"/>
  <c r="AF47" i="17"/>
  <c r="AJ47" i="17"/>
  <c r="AR47" i="17"/>
  <c r="AK47" i="17"/>
  <c r="AB47" i="17"/>
  <c r="AL47" i="17"/>
  <c r="AG47" i="17"/>
  <c r="AM47" i="17"/>
  <c r="AS47" i="17"/>
  <c r="AO47" i="17"/>
  <c r="AH47" i="17"/>
  <c r="AT47" i="17"/>
  <c r="AD47" i="17"/>
  <c r="AI47" i="17"/>
  <c r="AP47" i="17"/>
  <c r="AU47" i="17"/>
  <c r="AE47" i="17"/>
  <c r="AN47" i="17"/>
  <c r="AQ47" i="17"/>
  <c r="AC47" i="17"/>
  <c r="AB34" i="17"/>
  <c r="AC34" i="17"/>
  <c r="AU28" i="17"/>
  <c r="AE28" i="17"/>
  <c r="AJ28" i="17"/>
  <c r="AQ28" i="17"/>
  <c r="AB28" i="17"/>
  <c r="AF28" i="17"/>
  <c r="AK28" i="17"/>
  <c r="AR28" i="17"/>
  <c r="AL28" i="17"/>
  <c r="AP28" i="17"/>
  <c r="AC28" i="17"/>
  <c r="AG28" i="17"/>
  <c r="AM28" i="17"/>
  <c r="AS28" i="17"/>
  <c r="AN28" i="17"/>
  <c r="AO28" i="17"/>
  <c r="AD28" i="17"/>
  <c r="AH28" i="17"/>
  <c r="AT28" i="17"/>
  <c r="AI28" i="17"/>
  <c r="CI44" i="17"/>
  <c r="CJ44" i="17"/>
  <c r="AK46" i="17"/>
  <c r="AG46" i="17"/>
  <c r="AB46" i="17"/>
  <c r="AS46" i="17"/>
  <c r="AN46" i="17"/>
  <c r="AH46" i="17"/>
  <c r="AC46" i="17"/>
  <c r="AT46" i="17"/>
  <c r="AO46" i="17"/>
  <c r="AI46" i="17"/>
  <c r="AD46" i="17"/>
  <c r="AP46" i="17"/>
  <c r="AE46" i="17"/>
  <c r="AQ46" i="17"/>
  <c r="AL46" i="17"/>
  <c r="AU46" i="17"/>
  <c r="AM46" i="17"/>
  <c r="AF46" i="17"/>
  <c r="AJ46" i="17"/>
  <c r="AR46" i="17"/>
  <c r="AI45" i="17"/>
  <c r="AS45" i="17"/>
  <c r="AU45" i="17"/>
  <c r="AD45" i="17"/>
  <c r="AJ45" i="17"/>
  <c r="AP45" i="17"/>
  <c r="AG45" i="17"/>
  <c r="AE45" i="17"/>
  <c r="AK45" i="17"/>
  <c r="AQ45" i="17"/>
  <c r="AL45" i="17"/>
  <c r="AM45" i="17"/>
  <c r="AB45" i="17"/>
  <c r="AN45" i="17"/>
  <c r="AH45" i="17"/>
  <c r="AR45" i="17"/>
  <c r="AT45" i="17"/>
  <c r="AC45" i="17"/>
  <c r="AF45" i="17"/>
  <c r="AO45" i="17"/>
  <c r="AG29" i="17"/>
  <c r="AC29" i="17"/>
  <c r="AS29" i="17"/>
  <c r="AO29" i="17"/>
  <c r="AH29" i="17"/>
  <c r="AD29" i="17"/>
  <c r="AT29" i="17"/>
  <c r="AP29" i="17"/>
  <c r="AN29" i="17"/>
  <c r="AU29" i="17"/>
  <c r="AI29" i="17"/>
  <c r="AE29" i="17"/>
  <c r="AJ29" i="17"/>
  <c r="AQ29" i="17"/>
  <c r="AK29" i="17"/>
  <c r="AF29" i="17"/>
  <c r="AL29" i="17"/>
  <c r="AR29" i="17"/>
  <c r="AM29" i="17"/>
  <c r="AB29" i="17"/>
  <c r="AH31" i="17"/>
  <c r="AI31" i="17"/>
  <c r="AB31" i="17"/>
  <c r="AC31" i="17"/>
  <c r="AD31" i="17"/>
  <c r="AE31" i="17"/>
  <c r="AF31" i="17"/>
  <c r="AJ31" i="17"/>
  <c r="AK31" i="17"/>
  <c r="AG31" i="17"/>
  <c r="AK33" i="17"/>
  <c r="AF33" i="17"/>
  <c r="AB33" i="17"/>
  <c r="AC33" i="17"/>
  <c r="AD33" i="17"/>
  <c r="AE33" i="17"/>
  <c r="AG33" i="17"/>
  <c r="AH33" i="17"/>
  <c r="AI33" i="17"/>
  <c r="AJ33" i="17"/>
  <c r="AB30" i="17"/>
  <c r="AC30" i="17"/>
  <c r="AG30" i="17"/>
  <c r="AD30" i="17"/>
  <c r="AE30" i="17"/>
  <c r="AH30" i="17"/>
  <c r="AF30" i="17"/>
  <c r="AI30" i="17"/>
  <c r="AJ30" i="17"/>
  <c r="AK30" i="17"/>
  <c r="AF36" i="17"/>
  <c r="AB36" i="17"/>
  <c r="AC36" i="17"/>
  <c r="AD36" i="17"/>
  <c r="AE36" i="17"/>
  <c r="B106" i="71"/>
  <c r="B149" i="71"/>
  <c r="B63" i="71"/>
  <c r="B234" i="71"/>
  <c r="B192" i="71"/>
  <c r="AP14" i="11"/>
  <c r="E416" i="71"/>
  <c r="D423" i="71"/>
  <c r="D418" i="71" s="1"/>
  <c r="D119" i="71"/>
  <c r="D422" i="71"/>
  <c r="D417" i="71" s="1"/>
  <c r="D76" i="71"/>
  <c r="D186" i="71"/>
  <c r="C72" i="71"/>
  <c r="C73" i="71"/>
  <c r="C116" i="71"/>
  <c r="B147" i="71"/>
  <c r="B190" i="71"/>
  <c r="B104" i="71"/>
  <c r="B232" i="71"/>
  <c r="B140" i="71"/>
  <c r="B142" i="71" s="1"/>
  <c r="B144" i="71" s="1"/>
  <c r="B97" i="71"/>
  <c r="B99" i="71" s="1"/>
  <c r="B101" i="71" s="1"/>
  <c r="B56" i="71"/>
  <c r="B58" i="71" s="1"/>
  <c r="B14" i="71"/>
  <c r="B16" i="71" s="1"/>
  <c r="O436" i="56"/>
  <c r="N436" i="56"/>
  <c r="C239" i="71"/>
  <c r="C68" i="71"/>
  <c r="C111" i="71"/>
  <c r="C197" i="71"/>
  <c r="C154" i="71"/>
  <c r="C427" i="56"/>
  <c r="C429" i="56" s="1"/>
  <c r="C432" i="56" s="1"/>
  <c r="C19" i="71" s="1"/>
  <c r="C190" i="71" s="1"/>
  <c r="D24" i="71"/>
  <c r="E438" i="56"/>
  <c r="B225" i="71"/>
  <c r="B227" i="71" s="1"/>
  <c r="B229" i="71" s="1"/>
  <c r="B183" i="71"/>
  <c r="B185" i="71" s="1"/>
  <c r="B187" i="71" s="1"/>
  <c r="U73" i="71"/>
  <c r="U116" i="71"/>
  <c r="Q116" i="71"/>
  <c r="Q73" i="71"/>
  <c r="P116" i="71"/>
  <c r="P73" i="71"/>
  <c r="I73" i="71"/>
  <c r="I116" i="71"/>
  <c r="C444" i="71"/>
  <c r="V444" i="71"/>
  <c r="V445" i="71" s="1"/>
  <c r="D444" i="71"/>
  <c r="D445" i="71" s="1"/>
  <c r="C446" i="71" a="1"/>
  <c r="C446" i="71" s="1"/>
  <c r="E444" i="71"/>
  <c r="E445" i="71" s="1"/>
  <c r="F444" i="71"/>
  <c r="F445" i="71" s="1"/>
  <c r="G444" i="71"/>
  <c r="G445" i="71" s="1"/>
  <c r="F446" i="71" a="1"/>
  <c r="F446" i="71" s="1"/>
  <c r="Q448" i="71" a="1"/>
  <c r="Q448" i="71" s="1"/>
  <c r="V448" i="71" a="1"/>
  <c r="V448" i="71" s="1"/>
  <c r="T448" i="71" a="1"/>
  <c r="T448" i="71" s="1"/>
  <c r="U448" i="71" a="1"/>
  <c r="U448" i="71" s="1"/>
  <c r="R448" i="71" a="1"/>
  <c r="R448" i="71" s="1"/>
  <c r="S448" i="71" a="1"/>
  <c r="S448" i="71" s="1"/>
  <c r="E446" i="71" a="1"/>
  <c r="E446" i="71" s="1"/>
  <c r="D446" i="71" a="1"/>
  <c r="D446" i="71" s="1"/>
  <c r="M448" i="71" a="1"/>
  <c r="M448" i="71" s="1"/>
  <c r="L448" i="71" a="1"/>
  <c r="L448" i="71" s="1"/>
  <c r="O448" i="71" a="1"/>
  <c r="O448" i="71" s="1"/>
  <c r="N448" i="71" a="1"/>
  <c r="N448" i="71" s="1"/>
  <c r="P448" i="71" a="1"/>
  <c r="P448" i="71" s="1"/>
  <c r="K448" i="71" a="1"/>
  <c r="K448" i="71" s="1"/>
  <c r="M436" i="56"/>
  <c r="I436" i="56"/>
  <c r="T436" i="56"/>
  <c r="H436" i="56"/>
  <c r="S436" i="56"/>
  <c r="G436" i="56"/>
  <c r="R436" i="56"/>
  <c r="Q436" i="56"/>
  <c r="E436" i="56"/>
  <c r="P436" i="56"/>
  <c r="F436" i="56"/>
  <c r="E23" i="71"/>
  <c r="F437" i="56"/>
  <c r="D436" i="56"/>
  <c r="D67" i="71"/>
  <c r="D110" i="71"/>
  <c r="D153" i="71"/>
  <c r="D196" i="71"/>
  <c r="D238" i="71"/>
  <c r="E26" i="71"/>
  <c r="F440" i="56"/>
  <c r="D70" i="71"/>
  <c r="D156" i="71"/>
  <c r="D113" i="71"/>
  <c r="D199" i="71"/>
  <c r="D241" i="71"/>
  <c r="C436" i="56"/>
  <c r="E57" i="71"/>
  <c r="E228" i="71"/>
  <c r="E186" i="71"/>
  <c r="E100" i="71"/>
  <c r="E143" i="71"/>
  <c r="E25" i="71"/>
  <c r="F439" i="56"/>
  <c r="G428" i="56"/>
  <c r="F15" i="71"/>
  <c r="E21" i="71"/>
  <c r="F434" i="56"/>
  <c r="C55" i="71"/>
  <c r="C184" i="71"/>
  <c r="C141" i="71"/>
  <c r="C98" i="71"/>
  <c r="C226" i="71"/>
  <c r="D112" i="71"/>
  <c r="D240" i="71"/>
  <c r="D198" i="71"/>
  <c r="D155" i="71"/>
  <c r="D69" i="71"/>
  <c r="D105" i="71"/>
  <c r="D233" i="71"/>
  <c r="D148" i="71"/>
  <c r="D62" i="71"/>
  <c r="D191" i="71"/>
  <c r="D63" i="71"/>
  <c r="D106" i="71"/>
  <c r="D192" i="71"/>
  <c r="D149" i="71"/>
  <c r="D234" i="71"/>
  <c r="C54" i="71"/>
  <c r="C225" i="71"/>
  <c r="C183" i="71"/>
  <c r="C97" i="71"/>
  <c r="C140" i="71"/>
  <c r="C14" i="71"/>
  <c r="C16" i="71" s="1"/>
  <c r="BK13" i="11"/>
  <c r="BK14" i="11"/>
  <c r="L436" i="56"/>
  <c r="K436" i="56"/>
  <c r="J436" i="56"/>
  <c r="F355" i="56"/>
  <c r="B377" i="56" s="1"/>
  <c r="W11" i="92" s="1"/>
  <c r="BK12" i="11"/>
  <c r="BK11" i="11"/>
  <c r="BA14" i="11"/>
  <c r="BA11" i="11"/>
  <c r="A274" i="56"/>
  <c r="B274" i="56" s="1"/>
  <c r="C273" i="56"/>
  <c r="BA13" i="11"/>
  <c r="BA12" i="11"/>
  <c r="AX68" i="17"/>
  <c r="A321" i="56"/>
  <c r="B321" i="56" s="1"/>
  <c r="C320" i="56"/>
  <c r="A299" i="56"/>
  <c r="B299" i="56" s="1"/>
  <c r="C298" i="56"/>
  <c r="C249" i="56"/>
  <c r="A250" i="56"/>
  <c r="B250" i="56" s="1"/>
  <c r="A226" i="56"/>
  <c r="B226" i="56" s="1"/>
  <c r="C225" i="56"/>
  <c r="C35" i="17"/>
  <c r="C177" i="56"/>
  <c r="C59" i="17"/>
  <c r="W59" i="17" s="1"/>
  <c r="C44" i="17"/>
  <c r="C57" i="17"/>
  <c r="W57" i="17" s="1"/>
  <c r="C152" i="56"/>
  <c r="I152" i="56" s="1"/>
  <c r="A153" i="56"/>
  <c r="B153" i="56" s="1"/>
  <c r="BG68" i="17"/>
  <c r="C30" i="17"/>
  <c r="C53" i="17"/>
  <c r="W53" i="17" s="1"/>
  <c r="C61" i="17"/>
  <c r="W61" i="17" s="1"/>
  <c r="C62" i="17"/>
  <c r="W62" i="17" s="1"/>
  <c r="C36" i="17"/>
  <c r="C39" i="17"/>
  <c r="D46" i="67" s="1"/>
  <c r="C65" i="17"/>
  <c r="W65" i="17" s="1"/>
  <c r="C32" i="17"/>
  <c r="C66" i="17"/>
  <c r="W66" i="17" s="1"/>
  <c r="E68" i="17"/>
  <c r="C45" i="17"/>
  <c r="C63" i="17"/>
  <c r="W63" i="17" s="1"/>
  <c r="C58" i="17"/>
  <c r="W58" i="17" s="1"/>
  <c r="C31" i="17"/>
  <c r="W31" i="17" s="1"/>
  <c r="C51" i="17"/>
  <c r="W51" i="17" s="1"/>
  <c r="C56" i="17"/>
  <c r="W56" i="17" s="1"/>
  <c r="BO41" i="17"/>
  <c r="BR41" i="17" s="1"/>
  <c r="BP41" i="17"/>
  <c r="C41" i="17"/>
  <c r="C52" i="17"/>
  <c r="W52" i="17" s="1"/>
  <c r="BP46" i="17"/>
  <c r="BS46" i="17" s="1"/>
  <c r="U447" i="71" s="1" a="1"/>
  <c r="U447" i="71" s="1"/>
  <c r="C46" i="17"/>
  <c r="BO46" i="17"/>
  <c r="BR46" i="17" s="1"/>
  <c r="C64" i="17"/>
  <c r="W64" i="17" s="1"/>
  <c r="C54" i="17"/>
  <c r="W54" i="17" s="1"/>
  <c r="C200" i="56"/>
  <c r="A201" i="56"/>
  <c r="B201" i="56" s="1"/>
  <c r="C49" i="17"/>
  <c r="W49" i="17" s="1"/>
  <c r="C67" i="17"/>
  <c r="W67" i="17" s="1"/>
  <c r="C40" i="17"/>
  <c r="C42" i="17"/>
  <c r="C29" i="17"/>
  <c r="C55" i="17"/>
  <c r="W55" i="17" s="1"/>
  <c r="BO62" i="17"/>
  <c r="BR62" i="17" s="1"/>
  <c r="BO34" i="17"/>
  <c r="BR34" i="17" s="1"/>
  <c r="BO40" i="17"/>
  <c r="BR40" i="17" s="1"/>
  <c r="BO48" i="17"/>
  <c r="BR48" i="17" s="1"/>
  <c r="BO50" i="17"/>
  <c r="BR50" i="17" s="1"/>
  <c r="BO44" i="17"/>
  <c r="BR44" i="17" s="1"/>
  <c r="BO60" i="17"/>
  <c r="BR60" i="17" s="1"/>
  <c r="BO54" i="17"/>
  <c r="BR54" i="17" s="1"/>
  <c r="BO32" i="17"/>
  <c r="BR32" i="17" s="1"/>
  <c r="BO39" i="17"/>
  <c r="BR39" i="17" s="1"/>
  <c r="BO47" i="17"/>
  <c r="BR47" i="17" s="1"/>
  <c r="BO67" i="17"/>
  <c r="BR67" i="17" s="1"/>
  <c r="BO58" i="17"/>
  <c r="BR58" i="17" s="1"/>
  <c r="BO28" i="17"/>
  <c r="BO65" i="17"/>
  <c r="BR65" i="17" s="1"/>
  <c r="BO51" i="17"/>
  <c r="BR51" i="17" s="1"/>
  <c r="BO31" i="17"/>
  <c r="BR31" i="17" s="1"/>
  <c r="BO38" i="17"/>
  <c r="BR38" i="17" s="1"/>
  <c r="BO45" i="17"/>
  <c r="BR45" i="17" s="1"/>
  <c r="BO63" i="17"/>
  <c r="BR63" i="17" s="1"/>
  <c r="BO55" i="17"/>
  <c r="BR55" i="17" s="1"/>
  <c r="BO30" i="17"/>
  <c r="BR30" i="17" s="1"/>
  <c r="BO37" i="17"/>
  <c r="BR37" i="17" s="1"/>
  <c r="BO33" i="17"/>
  <c r="BR33" i="17" s="1"/>
  <c r="BO61" i="17"/>
  <c r="BR61" i="17" s="1"/>
  <c r="BO35" i="17"/>
  <c r="BR35" i="17" s="1"/>
  <c r="BO52" i="17"/>
  <c r="BR52" i="17" s="1"/>
  <c r="BO29" i="17"/>
  <c r="BR29" i="17" s="1"/>
  <c r="BO36" i="17"/>
  <c r="BR36" i="17" s="1"/>
  <c r="BO42" i="17"/>
  <c r="BR42" i="17" s="1"/>
  <c r="BO59" i="17"/>
  <c r="BR59" i="17" s="1"/>
  <c r="BO66" i="17"/>
  <c r="BR66" i="17" s="1"/>
  <c r="BO56" i="17"/>
  <c r="BR56" i="17" s="1"/>
  <c r="BO57" i="17"/>
  <c r="BR57" i="17" s="1"/>
  <c r="BO64" i="17"/>
  <c r="BR64" i="17" s="1"/>
  <c r="BO49" i="17"/>
  <c r="BR49" i="17" s="1"/>
  <c r="BO53" i="17"/>
  <c r="BR53" i="17" s="1"/>
  <c r="BO43" i="17"/>
  <c r="BR43" i="17" s="1"/>
  <c r="BP43" i="17"/>
  <c r="BS43" i="17" s="1"/>
  <c r="C43" i="17"/>
  <c r="C60" i="17"/>
  <c r="W60" i="17" s="1"/>
  <c r="C33" i="17"/>
  <c r="C48" i="17"/>
  <c r="D68" i="17"/>
  <c r="C50" i="17"/>
  <c r="W50" i="17" s="1"/>
  <c r="C37" i="17"/>
  <c r="C34" i="17"/>
  <c r="C38" i="17"/>
  <c r="F475" i="71"/>
  <c r="F478" i="71"/>
  <c r="G474" i="71"/>
  <c r="E485" i="71"/>
  <c r="H116" i="71"/>
  <c r="G406" i="71"/>
  <c r="F411" i="71"/>
  <c r="F237" i="71" s="1"/>
  <c r="F410" i="71"/>
  <c r="F195" i="71" s="1"/>
  <c r="F409" i="71"/>
  <c r="F152" i="71" s="1"/>
  <c r="F413" i="71"/>
  <c r="F421" i="71" s="1"/>
  <c r="H426" i="71"/>
  <c r="D116" i="71"/>
  <c r="D73" i="71"/>
  <c r="D72" i="71"/>
  <c r="D115" i="71"/>
  <c r="E425" i="56" l="1"/>
  <c r="D426" i="56"/>
  <c r="D13" i="71" s="1"/>
  <c r="C402" i="71" a="1"/>
  <c r="C402" i="71" s="1"/>
  <c r="E402" i="71" a="1"/>
  <c r="E402" i="71" s="1"/>
  <c r="E401" i="71" a="1"/>
  <c r="E401" i="71" s="1"/>
  <c r="D401" i="71" a="1"/>
  <c r="D401" i="71" s="1"/>
  <c r="C401" i="71" a="1"/>
  <c r="C401" i="71" s="1"/>
  <c r="F401" i="71" a="1"/>
  <c r="F401" i="71" s="1"/>
  <c r="F402" i="71" a="1"/>
  <c r="F402" i="71" s="1"/>
  <c r="D402" i="71" a="1"/>
  <c r="D402" i="71" s="1"/>
  <c r="F433" i="56"/>
  <c r="F20" i="71" s="1"/>
  <c r="N402" i="71" a="1"/>
  <c r="N402" i="71" s="1"/>
  <c r="S402" i="71" a="1"/>
  <c r="S402" i="71" s="1"/>
  <c r="O402" i="71" a="1"/>
  <c r="O402" i="71" s="1"/>
  <c r="G402" i="71" a="1"/>
  <c r="G402" i="71" s="1"/>
  <c r="R402" i="71" a="1"/>
  <c r="R402" i="71" s="1"/>
  <c r="P402" i="71" a="1"/>
  <c r="P402" i="71" s="1"/>
  <c r="I402" i="71" a="1"/>
  <c r="I402" i="71" s="1"/>
  <c r="T402" i="71" a="1"/>
  <c r="T402" i="71" s="1"/>
  <c r="H402" i="71" a="1"/>
  <c r="H402" i="71" s="1"/>
  <c r="U402" i="71" a="1"/>
  <c r="U402" i="71" s="1"/>
  <c r="Q402" i="71" a="1"/>
  <c r="Q402" i="71" s="1"/>
  <c r="L402" i="71" a="1"/>
  <c r="L402" i="71" s="1"/>
  <c r="J402" i="71" a="1"/>
  <c r="J402" i="71" s="1"/>
  <c r="K402" i="71" a="1"/>
  <c r="K402" i="71" s="1"/>
  <c r="M402" i="71" a="1"/>
  <c r="M402" i="71" s="1"/>
  <c r="L401" i="71" a="1"/>
  <c r="L401" i="71" s="1"/>
  <c r="U401" i="71" a="1"/>
  <c r="U401" i="71" s="1"/>
  <c r="Q401" i="71" a="1"/>
  <c r="Q401" i="71" s="1"/>
  <c r="I401" i="71" a="1"/>
  <c r="I401" i="71" s="1"/>
  <c r="K401" i="71" a="1"/>
  <c r="K401" i="71" s="1"/>
  <c r="T401" i="71" a="1"/>
  <c r="T401" i="71" s="1"/>
  <c r="H401" i="71" a="1"/>
  <c r="H401" i="71" s="1"/>
  <c r="O401" i="71" a="1"/>
  <c r="O401" i="71" s="1"/>
  <c r="P401" i="71" a="1"/>
  <c r="P401" i="71" s="1"/>
  <c r="S401" i="71" a="1"/>
  <c r="S401" i="71" s="1"/>
  <c r="J401" i="71" a="1"/>
  <c r="J401" i="71" s="1"/>
  <c r="N401" i="71" a="1"/>
  <c r="N401" i="71" s="1"/>
  <c r="G401" i="71" a="1"/>
  <c r="G401" i="71" s="1"/>
  <c r="M401" i="71" a="1"/>
  <c r="M401" i="71" s="1"/>
  <c r="R401" i="71" a="1"/>
  <c r="R401" i="71" s="1"/>
  <c r="C232" i="71"/>
  <c r="C442" i="56"/>
  <c r="C448" i="56" s="1"/>
  <c r="C61" i="71"/>
  <c r="C147" i="71"/>
  <c r="C104" i="71"/>
  <c r="C99" i="71"/>
  <c r="C101" i="71" s="1"/>
  <c r="E24" i="71"/>
  <c r="F438" i="56"/>
  <c r="C142" i="71"/>
  <c r="C144" i="71" s="1"/>
  <c r="M447" i="71" a="1"/>
  <c r="M447" i="71" s="1"/>
  <c r="D68" i="71"/>
  <c r="D154" i="71"/>
  <c r="D111" i="71"/>
  <c r="D197" i="71"/>
  <c r="D239" i="71"/>
  <c r="O447" i="71" a="1"/>
  <c r="O447" i="71" s="1"/>
  <c r="O446" i="71" a="1"/>
  <c r="O446" i="71" s="1"/>
  <c r="K446" i="71" a="1"/>
  <c r="K446" i="71" s="1"/>
  <c r="T447" i="71" a="1"/>
  <c r="T447" i="71" s="1"/>
  <c r="P446" i="71" a="1"/>
  <c r="P446" i="71" s="1"/>
  <c r="V447" i="71" a="1"/>
  <c r="V447" i="71" s="1"/>
  <c r="R447" i="71" a="1"/>
  <c r="R447" i="71" s="1"/>
  <c r="L447" i="71" a="1"/>
  <c r="L447" i="71" s="1"/>
  <c r="Q447" i="71" a="1"/>
  <c r="Q447" i="71" s="1"/>
  <c r="K447" i="71" a="1"/>
  <c r="K447" i="71" s="1"/>
  <c r="Q446" i="71" a="1"/>
  <c r="Q446" i="71" s="1"/>
  <c r="C445" i="71"/>
  <c r="X445" i="71" s="1"/>
  <c r="X444" i="71"/>
  <c r="J446" i="71" a="1"/>
  <c r="J446" i="71" s="1"/>
  <c r="P447" i="71" a="1"/>
  <c r="P447" i="71" s="1"/>
  <c r="N446" i="71" a="1"/>
  <c r="N446" i="71" s="1"/>
  <c r="H446" i="71" a="1"/>
  <c r="H446" i="71" s="1"/>
  <c r="N447" i="71" a="1"/>
  <c r="N447" i="71" s="1"/>
  <c r="T446" i="71" a="1"/>
  <c r="T446" i="71" s="1"/>
  <c r="M446" i="71" a="1"/>
  <c r="M446" i="71" s="1"/>
  <c r="L446" i="71" a="1"/>
  <c r="L446" i="71" s="1"/>
  <c r="R446" i="71" a="1"/>
  <c r="R446" i="71" s="1"/>
  <c r="U446" i="71" a="1"/>
  <c r="U446" i="71" s="1"/>
  <c r="V446" i="71" a="1"/>
  <c r="V446" i="71" s="1"/>
  <c r="S446" i="71" a="1"/>
  <c r="S446" i="71" s="1"/>
  <c r="G446" i="71" a="1"/>
  <c r="G446" i="71" s="1"/>
  <c r="S447" i="71" a="1"/>
  <c r="S447" i="71" s="1"/>
  <c r="I446" i="71" a="1"/>
  <c r="I446" i="71" s="1"/>
  <c r="C227" i="71"/>
  <c r="C229" i="71" s="1"/>
  <c r="E199" i="71"/>
  <c r="E70" i="71"/>
  <c r="E241" i="71"/>
  <c r="E156" i="71"/>
  <c r="E113" i="71"/>
  <c r="F23" i="71"/>
  <c r="G437" i="56"/>
  <c r="H428" i="56"/>
  <c r="G15" i="71"/>
  <c r="E196" i="71"/>
  <c r="E153" i="71"/>
  <c r="E238" i="71"/>
  <c r="E67" i="71"/>
  <c r="E110" i="71"/>
  <c r="C185" i="71"/>
  <c r="C187" i="71" s="1"/>
  <c r="E191" i="71"/>
  <c r="E62" i="71"/>
  <c r="E105" i="71"/>
  <c r="E233" i="71"/>
  <c r="E148" i="71"/>
  <c r="C56" i="71"/>
  <c r="C58" i="71" s="1"/>
  <c r="G439" i="56"/>
  <c r="F25" i="71"/>
  <c r="F57" i="71"/>
  <c r="F143" i="71"/>
  <c r="F186" i="71"/>
  <c r="F100" i="71"/>
  <c r="F228" i="71"/>
  <c r="E198" i="71"/>
  <c r="E240" i="71"/>
  <c r="E112" i="71"/>
  <c r="E155" i="71"/>
  <c r="E69" i="71"/>
  <c r="F425" i="56"/>
  <c r="E12" i="71"/>
  <c r="E426" i="56"/>
  <c r="E13" i="71" s="1"/>
  <c r="D55" i="71"/>
  <c r="D226" i="71"/>
  <c r="D98" i="71"/>
  <c r="D184" i="71"/>
  <c r="D141" i="71"/>
  <c r="D54" i="71"/>
  <c r="D225" i="71"/>
  <c r="D183" i="71"/>
  <c r="D140" i="71"/>
  <c r="D97" i="71"/>
  <c r="D14" i="71"/>
  <c r="D16" i="71" s="1"/>
  <c r="B436" i="56"/>
  <c r="B442" i="56" s="1"/>
  <c r="D427" i="56"/>
  <c r="D429" i="56" s="1"/>
  <c r="F21" i="71"/>
  <c r="G434" i="56"/>
  <c r="E106" i="71"/>
  <c r="E149" i="71"/>
  <c r="E63" i="71"/>
  <c r="E234" i="71"/>
  <c r="E192" i="71"/>
  <c r="G440" i="56"/>
  <c r="F26" i="71"/>
  <c r="BD68" i="17"/>
  <c r="C274" i="56"/>
  <c r="A275" i="56"/>
  <c r="B275" i="56" s="1"/>
  <c r="A322" i="56"/>
  <c r="B322" i="56" s="1"/>
  <c r="C321" i="56"/>
  <c r="C299" i="56"/>
  <c r="A300" i="56"/>
  <c r="B300" i="56" s="1"/>
  <c r="C250" i="56"/>
  <c r="A251" i="56"/>
  <c r="B251" i="56" s="1"/>
  <c r="A227" i="56"/>
  <c r="B227" i="56" s="1"/>
  <c r="C226" i="56"/>
  <c r="D43" i="67"/>
  <c r="D92" i="67"/>
  <c r="W36" i="17"/>
  <c r="W35" i="17"/>
  <c r="D39" i="67"/>
  <c r="D90" i="67"/>
  <c r="C178" i="56"/>
  <c r="W30" i="17"/>
  <c r="W39" i="17"/>
  <c r="D64" i="67"/>
  <c r="W44" i="17"/>
  <c r="D101" i="67"/>
  <c r="D44" i="67"/>
  <c r="D70" i="67"/>
  <c r="D88" i="67"/>
  <c r="C153" i="56"/>
  <c r="A154" i="56"/>
  <c r="B154" i="56" s="1"/>
  <c r="D104" i="67"/>
  <c r="D68" i="67"/>
  <c r="D45" i="67"/>
  <c r="D55" i="67"/>
  <c r="W45" i="17"/>
  <c r="D89" i="67"/>
  <c r="D69" i="67"/>
  <c r="W32" i="17"/>
  <c r="D54" i="67"/>
  <c r="W46" i="17"/>
  <c r="D40" i="67"/>
  <c r="D65" i="67"/>
  <c r="W43" i="17"/>
  <c r="D56" i="67"/>
  <c r="BO68" i="17"/>
  <c r="BR68" i="17" s="1"/>
  <c r="BR28" i="17"/>
  <c r="BS41" i="17"/>
  <c r="BP68" i="17"/>
  <c r="W29" i="17"/>
  <c r="D63" i="67"/>
  <c r="W42" i="17"/>
  <c r="D80" i="67"/>
  <c r="W38" i="17"/>
  <c r="D102" i="67"/>
  <c r="W34" i="17"/>
  <c r="D16" i="67"/>
  <c r="D91" i="67"/>
  <c r="D103" i="67"/>
  <c r="D66" i="67"/>
  <c r="D67" i="67"/>
  <c r="W37" i="17"/>
  <c r="D42" i="67"/>
  <c r="W40" i="17"/>
  <c r="D105" i="67"/>
  <c r="D81" i="67"/>
  <c r="C201" i="56"/>
  <c r="A202" i="56"/>
  <c r="B202" i="56" s="1"/>
  <c r="V47" i="17"/>
  <c r="W28" i="17"/>
  <c r="D38" i="67"/>
  <c r="C68" i="17"/>
  <c r="W68" i="17" s="1"/>
  <c r="W33" i="17"/>
  <c r="D41" i="67"/>
  <c r="D82" i="67"/>
  <c r="W41" i="17"/>
  <c r="D106" i="67"/>
  <c r="W48" i="17"/>
  <c r="D107" i="67"/>
  <c r="H474" i="71"/>
  <c r="G475" i="71"/>
  <c r="G478" i="71"/>
  <c r="F485" i="71"/>
  <c r="I426" i="71"/>
  <c r="G411" i="71"/>
  <c r="G237" i="71" s="1"/>
  <c r="G409" i="71"/>
  <c r="G152" i="71" s="1"/>
  <c r="H406" i="71"/>
  <c r="G410" i="71"/>
  <c r="G195" i="71" s="1"/>
  <c r="G413" i="71"/>
  <c r="G421" i="71" s="1"/>
  <c r="B161" i="71" l="1"/>
  <c r="B166" i="71" s="1"/>
  <c r="D84" i="67"/>
  <c r="C9" i="92" s="1"/>
  <c r="H9" i="92" s="1"/>
  <c r="D109" i="67"/>
  <c r="C10" i="92" s="1"/>
  <c r="H10" i="92" s="1"/>
  <c r="D59" i="67"/>
  <c r="C8" i="92" s="1"/>
  <c r="H8" i="92" s="1"/>
  <c r="G433" i="56"/>
  <c r="G20" i="71" s="1"/>
  <c r="X402" i="71"/>
  <c r="B173" i="71"/>
  <c r="B275" i="71" s="1"/>
  <c r="B290" i="71"/>
  <c r="C161" i="71"/>
  <c r="C166" i="71" s="1"/>
  <c r="C173" i="71" s="1"/>
  <c r="C275" i="71" s="1"/>
  <c r="Z402" i="71"/>
  <c r="Y402" i="71"/>
  <c r="Z401" i="71"/>
  <c r="AA401" i="71"/>
  <c r="X401" i="71"/>
  <c r="Y401" i="71"/>
  <c r="AA402" i="71"/>
  <c r="E427" i="56"/>
  <c r="E429" i="56" s="1"/>
  <c r="E432" i="56" s="1"/>
  <c r="F24" i="71"/>
  <c r="G438" i="56"/>
  <c r="E68" i="71"/>
  <c r="E239" i="71"/>
  <c r="E111" i="71"/>
  <c r="E197" i="71"/>
  <c r="E154" i="71"/>
  <c r="X446" i="71"/>
  <c r="BS68" i="17"/>
  <c r="D447" i="71" a="1"/>
  <c r="D447" i="71" s="1"/>
  <c r="G448" i="71" a="1"/>
  <c r="G448" i="71" s="1"/>
  <c r="E448" i="71" a="1"/>
  <c r="E448" i="71" s="1"/>
  <c r="E447" i="71" a="1"/>
  <c r="E447" i="71" s="1"/>
  <c r="J448" i="71" a="1"/>
  <c r="J448" i="71" s="1"/>
  <c r="F447" i="71" a="1"/>
  <c r="F447" i="71" s="1"/>
  <c r="H448" i="71" a="1"/>
  <c r="H448" i="71" s="1"/>
  <c r="G447" i="71" a="1"/>
  <c r="G447" i="71" s="1"/>
  <c r="C448" i="71" a="1"/>
  <c r="C448" i="71" s="1"/>
  <c r="F448" i="71" a="1"/>
  <c r="F448" i="71" s="1"/>
  <c r="I448" i="71" a="1"/>
  <c r="I448" i="71" s="1"/>
  <c r="D448" i="71" a="1"/>
  <c r="D448" i="71" s="1"/>
  <c r="H447" i="71" a="1"/>
  <c r="H447" i="71" s="1"/>
  <c r="I447" i="71" a="1"/>
  <c r="I447" i="71" s="1"/>
  <c r="C447" i="71" a="1"/>
  <c r="C447" i="71" s="1"/>
  <c r="J447" i="71" a="1"/>
  <c r="J447" i="71" s="1"/>
  <c r="D99" i="71"/>
  <c r="D101" i="71" s="1"/>
  <c r="F12" i="71"/>
  <c r="G425" i="56"/>
  <c r="F426" i="56"/>
  <c r="F13" i="71" s="1"/>
  <c r="F233" i="71"/>
  <c r="F105" i="71"/>
  <c r="F191" i="71"/>
  <c r="F62" i="71"/>
  <c r="F148" i="71"/>
  <c r="D185" i="71"/>
  <c r="D187" i="71" s="1"/>
  <c r="G57" i="71"/>
  <c r="G186" i="71"/>
  <c r="G143" i="71"/>
  <c r="G100" i="71"/>
  <c r="G228" i="71"/>
  <c r="G26" i="71"/>
  <c r="H440" i="56"/>
  <c r="H15" i="71"/>
  <c r="I428" i="56"/>
  <c r="D56" i="71"/>
  <c r="D58" i="71" s="1"/>
  <c r="G25" i="71"/>
  <c r="H439" i="56"/>
  <c r="H437" i="56"/>
  <c r="G23" i="71"/>
  <c r="D227" i="71"/>
  <c r="D229" i="71" s="1"/>
  <c r="F240" i="71"/>
  <c r="F112" i="71"/>
  <c r="F198" i="71"/>
  <c r="F69" i="71"/>
  <c r="F155" i="71"/>
  <c r="D142" i="71"/>
  <c r="D144" i="71" s="1"/>
  <c r="F110" i="71"/>
  <c r="F196" i="71"/>
  <c r="F153" i="71"/>
  <c r="F238" i="71"/>
  <c r="F67" i="71"/>
  <c r="G21" i="71"/>
  <c r="H434" i="56"/>
  <c r="D432" i="56"/>
  <c r="E55" i="71"/>
  <c r="E141" i="71"/>
  <c r="E184" i="71"/>
  <c r="E226" i="71"/>
  <c r="E98" i="71"/>
  <c r="F70" i="71"/>
  <c r="F156" i="71"/>
  <c r="F113" i="71"/>
  <c r="F241" i="71"/>
  <c r="F199" i="71"/>
  <c r="E54" i="71"/>
  <c r="E225" i="71"/>
  <c r="E183" i="71"/>
  <c r="E140" i="71"/>
  <c r="E14" i="71"/>
  <c r="E16" i="71" s="1"/>
  <c r="E97" i="71"/>
  <c r="F63" i="71"/>
  <c r="F234" i="71"/>
  <c r="F106" i="71"/>
  <c r="F149" i="71"/>
  <c r="F192" i="71"/>
  <c r="C275" i="56"/>
  <c r="A276" i="56"/>
  <c r="B276" i="56" s="1"/>
  <c r="C322" i="56"/>
  <c r="A323" i="56"/>
  <c r="B323" i="56" s="1"/>
  <c r="C300" i="56"/>
  <c r="A301" i="56"/>
  <c r="B301" i="56" s="1"/>
  <c r="A252" i="56"/>
  <c r="B252" i="56" s="1"/>
  <c r="C251" i="56"/>
  <c r="C227" i="56"/>
  <c r="A228" i="56"/>
  <c r="B228" i="56" s="1"/>
  <c r="V35" i="17"/>
  <c r="V30" i="17"/>
  <c r="V44" i="17"/>
  <c r="V39" i="17"/>
  <c r="C179" i="56"/>
  <c r="V36" i="17"/>
  <c r="I153" i="56"/>
  <c r="V38" i="17"/>
  <c r="AQ68" i="17"/>
  <c r="A155" i="56"/>
  <c r="B155" i="56" s="1"/>
  <c r="C154" i="56"/>
  <c r="I154" i="56" s="1"/>
  <c r="V31" i="17"/>
  <c r="V45" i="17"/>
  <c r="V32" i="17"/>
  <c r="B204" i="71"/>
  <c r="B209" i="71" s="1"/>
  <c r="AO68" i="17"/>
  <c r="AU68" i="17"/>
  <c r="V34" i="17"/>
  <c r="AI68" i="17"/>
  <c r="AM68" i="17"/>
  <c r="AR68" i="17"/>
  <c r="V43" i="17"/>
  <c r="AN68" i="17"/>
  <c r="AF68" i="17"/>
  <c r="AT68" i="17"/>
  <c r="AS68" i="17"/>
  <c r="V48" i="17"/>
  <c r="AL68" i="17"/>
  <c r="AG68" i="17"/>
  <c r="V41" i="17"/>
  <c r="V28" i="17"/>
  <c r="AB68" i="17"/>
  <c r="V37" i="17"/>
  <c r="V46" i="17"/>
  <c r="AD68" i="17"/>
  <c r="C444" i="56"/>
  <c r="C445" i="56" s="1"/>
  <c r="B448" i="56"/>
  <c r="C446" i="56"/>
  <c r="AJ68" i="17"/>
  <c r="AP68" i="17"/>
  <c r="V29" i="17"/>
  <c r="AE68" i="17"/>
  <c r="AK68" i="17"/>
  <c r="AC68" i="17"/>
  <c r="V33" i="17"/>
  <c r="C202" i="56"/>
  <c r="A203" i="56"/>
  <c r="B203" i="56" s="1"/>
  <c r="V40" i="17"/>
  <c r="B246" i="71"/>
  <c r="AH68" i="17"/>
  <c r="V42" i="17"/>
  <c r="G485" i="71"/>
  <c r="I474" i="71"/>
  <c r="H475" i="71"/>
  <c r="H478" i="71"/>
  <c r="J426" i="71"/>
  <c r="H410" i="71"/>
  <c r="H195" i="71" s="1"/>
  <c r="H411" i="71"/>
  <c r="H237" i="71" s="1"/>
  <c r="I406" i="71"/>
  <c r="H413" i="71"/>
  <c r="H421" i="71" s="1"/>
  <c r="H409" i="71"/>
  <c r="H152" i="71" s="1"/>
  <c r="H433" i="56" l="1"/>
  <c r="H20" i="71" s="1"/>
  <c r="AB402" i="71"/>
  <c r="AB401" i="71"/>
  <c r="D161" i="71"/>
  <c r="E161" i="71" s="1"/>
  <c r="E166" i="71" s="1"/>
  <c r="C290" i="71"/>
  <c r="E142" i="71"/>
  <c r="E144" i="71" s="1"/>
  <c r="E99" i="71"/>
  <c r="E101" i="71" s="1"/>
  <c r="E185" i="71"/>
  <c r="E187" i="71" s="1"/>
  <c r="E56" i="71"/>
  <c r="E58" i="71" s="1"/>
  <c r="G24" i="71"/>
  <c r="H438" i="56"/>
  <c r="F197" i="71"/>
  <c r="F111" i="71"/>
  <c r="F154" i="71"/>
  <c r="F239" i="71"/>
  <c r="F68" i="71"/>
  <c r="X447" i="71"/>
  <c r="X448" i="71"/>
  <c r="E227" i="71"/>
  <c r="E229" i="71" s="1"/>
  <c r="G69" i="71"/>
  <c r="G155" i="71"/>
  <c r="G198" i="71"/>
  <c r="G240" i="71"/>
  <c r="G112" i="71"/>
  <c r="G191" i="71"/>
  <c r="G62" i="71"/>
  <c r="G233" i="71"/>
  <c r="G105" i="71"/>
  <c r="G148" i="71"/>
  <c r="H143" i="71"/>
  <c r="H228" i="71"/>
  <c r="H57" i="71"/>
  <c r="H100" i="71"/>
  <c r="H186" i="71"/>
  <c r="H26" i="71"/>
  <c r="I440" i="56"/>
  <c r="G70" i="71"/>
  <c r="G199" i="71"/>
  <c r="G113" i="71"/>
  <c r="G241" i="71"/>
  <c r="G156" i="71"/>
  <c r="D19" i="71"/>
  <c r="D442" i="56"/>
  <c r="H21" i="71"/>
  <c r="I434" i="56"/>
  <c r="F55" i="71"/>
  <c r="F184" i="71"/>
  <c r="F226" i="71"/>
  <c r="F141" i="71"/>
  <c r="F98" i="71"/>
  <c r="G106" i="71"/>
  <c r="G149" i="71"/>
  <c r="G192" i="71"/>
  <c r="G234" i="71"/>
  <c r="G63" i="71"/>
  <c r="G12" i="71"/>
  <c r="H425" i="56"/>
  <c r="G426" i="56"/>
  <c r="G13" i="71" s="1"/>
  <c r="G153" i="71"/>
  <c r="G238" i="71"/>
  <c r="G196" i="71"/>
  <c r="G67" i="71"/>
  <c r="G110" i="71"/>
  <c r="F427" i="56"/>
  <c r="F429" i="56" s="1"/>
  <c r="F54" i="71"/>
  <c r="F97" i="71"/>
  <c r="F225" i="71"/>
  <c r="F183" i="71"/>
  <c r="F14" i="71"/>
  <c r="F16" i="71" s="1"/>
  <c r="F140" i="71"/>
  <c r="I437" i="56"/>
  <c r="H23" i="71"/>
  <c r="H25" i="71"/>
  <c r="I439" i="56"/>
  <c r="I15" i="71"/>
  <c r="J428" i="56"/>
  <c r="E19" i="71"/>
  <c r="E442" i="56"/>
  <c r="A277" i="56"/>
  <c r="B277" i="56" s="1"/>
  <c r="C276" i="56"/>
  <c r="C323" i="56"/>
  <c r="A324" i="56"/>
  <c r="B324" i="56" s="1"/>
  <c r="A302" i="56"/>
  <c r="B302" i="56" s="1"/>
  <c r="C301" i="56"/>
  <c r="C252" i="56"/>
  <c r="A253" i="56"/>
  <c r="B253" i="56" s="1"/>
  <c r="A229" i="56"/>
  <c r="B229" i="56" s="1"/>
  <c r="C228" i="56"/>
  <c r="C180" i="56"/>
  <c r="C155" i="56"/>
  <c r="I155" i="56" s="1"/>
  <c r="A156" i="56"/>
  <c r="B156" i="56" s="1"/>
  <c r="C204" i="71"/>
  <c r="D204" i="71" s="1"/>
  <c r="C450" i="56"/>
  <c r="C451" i="56" s="1"/>
  <c r="C452" i="56"/>
  <c r="C203" i="56"/>
  <c r="A204" i="56"/>
  <c r="B204" i="56" s="1"/>
  <c r="V68" i="17"/>
  <c r="C246" i="71"/>
  <c r="B251" i="71"/>
  <c r="B258" i="71" s="1"/>
  <c r="B279" i="71" s="1"/>
  <c r="B292" i="71"/>
  <c r="B216" i="71"/>
  <c r="B277" i="71" s="1"/>
  <c r="H485" i="71"/>
  <c r="I478" i="71"/>
  <c r="J474" i="71"/>
  <c r="I475" i="71"/>
  <c r="K426" i="71"/>
  <c r="I410" i="71"/>
  <c r="I195" i="71" s="1"/>
  <c r="I409" i="71"/>
  <c r="I152" i="71" s="1"/>
  <c r="I413" i="71"/>
  <c r="I421" i="71" s="1"/>
  <c r="J406" i="71"/>
  <c r="I411" i="71"/>
  <c r="I237" i="71" s="1"/>
  <c r="I433" i="56" l="1"/>
  <c r="J433" i="56" s="1"/>
  <c r="F161" i="71"/>
  <c r="G161" i="71" s="1"/>
  <c r="D166" i="71"/>
  <c r="D290" i="71" s="1"/>
  <c r="G111" i="71"/>
  <c r="G68" i="71"/>
  <c r="G239" i="71"/>
  <c r="G154" i="71"/>
  <c r="G197" i="71"/>
  <c r="H24" i="71"/>
  <c r="I438" i="56"/>
  <c r="J439" i="56"/>
  <c r="I25" i="71"/>
  <c r="H112" i="71"/>
  <c r="H198" i="71"/>
  <c r="H69" i="71"/>
  <c r="H155" i="71"/>
  <c r="H240" i="71"/>
  <c r="I100" i="71"/>
  <c r="I57" i="71"/>
  <c r="I228" i="71"/>
  <c r="I143" i="71"/>
  <c r="I186" i="71"/>
  <c r="I26" i="71"/>
  <c r="J440" i="56"/>
  <c r="G98" i="71"/>
  <c r="G226" i="71"/>
  <c r="G184" i="71"/>
  <c r="G55" i="71"/>
  <c r="G141" i="71"/>
  <c r="G140" i="71"/>
  <c r="G225" i="71"/>
  <c r="G97" i="71"/>
  <c r="G54" i="71"/>
  <c r="G14" i="71"/>
  <c r="G16" i="71" s="1"/>
  <c r="G183" i="71"/>
  <c r="I21" i="71"/>
  <c r="J434" i="56"/>
  <c r="G427" i="56"/>
  <c r="G429" i="56" s="1"/>
  <c r="F56" i="71"/>
  <c r="F58" i="71" s="1"/>
  <c r="D104" i="71"/>
  <c r="D61" i="71"/>
  <c r="D147" i="71"/>
  <c r="D232" i="71"/>
  <c r="D190" i="71"/>
  <c r="F142" i="71"/>
  <c r="F144" i="71" s="1"/>
  <c r="H241" i="71"/>
  <c r="H70" i="71"/>
  <c r="H199" i="71"/>
  <c r="H156" i="71"/>
  <c r="H113" i="71"/>
  <c r="I425" i="56"/>
  <c r="H12" i="71"/>
  <c r="H426" i="56"/>
  <c r="H13" i="71" s="1"/>
  <c r="F185" i="71"/>
  <c r="F187" i="71" s="1"/>
  <c r="F227" i="71"/>
  <c r="F229" i="71" s="1"/>
  <c r="H63" i="71"/>
  <c r="H106" i="71"/>
  <c r="H234" i="71"/>
  <c r="H149" i="71"/>
  <c r="H192" i="71"/>
  <c r="F99" i="71"/>
  <c r="F101" i="71" s="1"/>
  <c r="I20" i="71"/>
  <c r="F432" i="56"/>
  <c r="E61" i="71"/>
  <c r="E104" i="71"/>
  <c r="E232" i="71"/>
  <c r="E190" i="71"/>
  <c r="E147" i="71"/>
  <c r="K428" i="56"/>
  <c r="J15" i="71"/>
  <c r="H110" i="71"/>
  <c r="H67" i="71"/>
  <c r="H238" i="71"/>
  <c r="H153" i="71"/>
  <c r="H196" i="71"/>
  <c r="J437" i="56"/>
  <c r="I23" i="71"/>
  <c r="D444" i="56"/>
  <c r="D445" i="56" s="1"/>
  <c r="D448" i="56"/>
  <c r="D446" i="56"/>
  <c r="E444" i="56"/>
  <c r="E445" i="56" s="1"/>
  <c r="E448" i="56"/>
  <c r="E446" i="56"/>
  <c r="H105" i="71"/>
  <c r="H148" i="71"/>
  <c r="H233" i="71"/>
  <c r="H191" i="71"/>
  <c r="H62" i="71"/>
  <c r="C277" i="56"/>
  <c r="A278" i="56"/>
  <c r="B278" i="56" s="1"/>
  <c r="C324" i="56"/>
  <c r="A325" i="56"/>
  <c r="B325" i="56" s="1"/>
  <c r="A303" i="56"/>
  <c r="B303" i="56" s="1"/>
  <c r="C302" i="56"/>
  <c r="C253" i="56"/>
  <c r="A254" i="56"/>
  <c r="B254" i="56" s="1"/>
  <c r="A230" i="56"/>
  <c r="B230" i="56" s="1"/>
  <c r="C229" i="56"/>
  <c r="C181" i="56"/>
  <c r="C209" i="71"/>
  <c r="C216" i="71" s="1"/>
  <c r="C277" i="71" s="1"/>
  <c r="C156" i="56"/>
  <c r="I156" i="56" s="1"/>
  <c r="A157" i="56"/>
  <c r="B157" i="56" s="1"/>
  <c r="D209" i="71"/>
  <c r="E204" i="71"/>
  <c r="C204" i="56"/>
  <c r="A205" i="56"/>
  <c r="B205" i="56" s="1"/>
  <c r="D246" i="71"/>
  <c r="C251" i="71"/>
  <c r="C258" i="71" s="1"/>
  <c r="C279" i="71" s="1"/>
  <c r="E173" i="71"/>
  <c r="E275" i="71" s="1"/>
  <c r="E290" i="71"/>
  <c r="J475" i="71"/>
  <c r="K474" i="71"/>
  <c r="J478" i="71"/>
  <c r="I485" i="71"/>
  <c r="L426" i="71"/>
  <c r="K406" i="71"/>
  <c r="J411" i="71"/>
  <c r="J237" i="71" s="1"/>
  <c r="J410" i="71"/>
  <c r="J195" i="71" s="1"/>
  <c r="J409" i="71"/>
  <c r="J152" i="71" s="1"/>
  <c r="J413" i="71"/>
  <c r="J421" i="71" s="1"/>
  <c r="F166" i="71" l="1"/>
  <c r="F173" i="71" s="1"/>
  <c r="F275" i="71" s="1"/>
  <c r="D173" i="71"/>
  <c r="D275" i="71" s="1"/>
  <c r="J438" i="56"/>
  <c r="I24" i="71"/>
  <c r="H111" i="71"/>
  <c r="H239" i="71"/>
  <c r="H154" i="71"/>
  <c r="H197" i="71"/>
  <c r="H68" i="71"/>
  <c r="K437" i="56"/>
  <c r="J23" i="71"/>
  <c r="G56" i="71"/>
  <c r="G58" i="71" s="1"/>
  <c r="K434" i="56"/>
  <c r="J21" i="71"/>
  <c r="K440" i="56"/>
  <c r="J26" i="71"/>
  <c r="G185" i="71"/>
  <c r="G187" i="71" s="1"/>
  <c r="I70" i="71"/>
  <c r="I199" i="71"/>
  <c r="I241" i="71"/>
  <c r="I156" i="71"/>
  <c r="I113" i="71"/>
  <c r="I238" i="71"/>
  <c r="I196" i="71"/>
  <c r="I110" i="71"/>
  <c r="I153" i="71"/>
  <c r="I67" i="71"/>
  <c r="E450" i="56"/>
  <c r="E451" i="56" s="1"/>
  <c r="E452" i="56"/>
  <c r="H98" i="71"/>
  <c r="H184" i="71"/>
  <c r="H226" i="71"/>
  <c r="H141" i="71"/>
  <c r="H55" i="71"/>
  <c r="G99" i="71"/>
  <c r="G101" i="71" s="1"/>
  <c r="L428" i="56"/>
  <c r="K15" i="71"/>
  <c r="I149" i="71"/>
  <c r="I234" i="71"/>
  <c r="I106" i="71"/>
  <c r="I192" i="71"/>
  <c r="I63" i="71"/>
  <c r="I240" i="71"/>
  <c r="I198" i="71"/>
  <c r="I112" i="71"/>
  <c r="I69" i="71"/>
  <c r="I155" i="71"/>
  <c r="K439" i="56"/>
  <c r="J25" i="71"/>
  <c r="F19" i="71"/>
  <c r="F442" i="56"/>
  <c r="H427" i="56"/>
  <c r="H429" i="56" s="1"/>
  <c r="G227" i="71"/>
  <c r="G229" i="71" s="1"/>
  <c r="J20" i="71"/>
  <c r="K433" i="56"/>
  <c r="H225" i="71"/>
  <c r="H183" i="71"/>
  <c r="H54" i="71"/>
  <c r="H140" i="71"/>
  <c r="H97" i="71"/>
  <c r="H14" i="71"/>
  <c r="H16" i="71" s="1"/>
  <c r="D450" i="56"/>
  <c r="D451" i="56" s="1"/>
  <c r="D452" i="56"/>
  <c r="I105" i="71"/>
  <c r="I233" i="71"/>
  <c r="I62" i="71"/>
  <c r="I148" i="71"/>
  <c r="I191" i="71"/>
  <c r="I12" i="71"/>
  <c r="J425" i="56"/>
  <c r="I426" i="56"/>
  <c r="I13" i="71" s="1"/>
  <c r="G142" i="71"/>
  <c r="G144" i="71" s="1"/>
  <c r="J228" i="71"/>
  <c r="J186" i="71"/>
  <c r="J57" i="71"/>
  <c r="J143" i="71"/>
  <c r="J100" i="71"/>
  <c r="G432" i="56"/>
  <c r="A279" i="56"/>
  <c r="B279" i="56" s="1"/>
  <c r="C278" i="56"/>
  <c r="A326" i="56"/>
  <c r="B326" i="56" s="1"/>
  <c r="C325" i="56"/>
  <c r="A304" i="56"/>
  <c r="B304" i="56" s="1"/>
  <c r="C304" i="56" s="1"/>
  <c r="C303" i="56"/>
  <c r="C254" i="56"/>
  <c r="A255" i="56"/>
  <c r="B255" i="56" s="1"/>
  <c r="C230" i="56"/>
  <c r="A231" i="56"/>
  <c r="B231" i="56" s="1"/>
  <c r="C182" i="56"/>
  <c r="C292" i="71"/>
  <c r="C157" i="56"/>
  <c r="I157" i="56" s="1"/>
  <c r="A158" i="56"/>
  <c r="B158" i="56" s="1"/>
  <c r="E209" i="71"/>
  <c r="F204" i="71"/>
  <c r="E246" i="71"/>
  <c r="D251" i="71"/>
  <c r="D258" i="71" s="1"/>
  <c r="D279" i="71" s="1"/>
  <c r="H161" i="71"/>
  <c r="G166" i="71"/>
  <c r="D216" i="71"/>
  <c r="D277" i="71" s="1"/>
  <c r="D292" i="71"/>
  <c r="C205" i="56"/>
  <c r="A206" i="56"/>
  <c r="B206" i="56" s="1"/>
  <c r="J485" i="71"/>
  <c r="K475" i="71"/>
  <c r="L474" i="71"/>
  <c r="K478" i="71"/>
  <c r="M426" i="71"/>
  <c r="K409" i="71"/>
  <c r="K152" i="71" s="1"/>
  <c r="K411" i="71"/>
  <c r="K237" i="71" s="1"/>
  <c r="L406" i="71"/>
  <c r="K410" i="71"/>
  <c r="K195" i="71" s="1"/>
  <c r="K413" i="71"/>
  <c r="K421" i="71" s="1"/>
  <c r="D301" i="71" l="1"/>
  <c r="F290" i="71"/>
  <c r="H56" i="71"/>
  <c r="H58" i="71" s="1"/>
  <c r="I197" i="71"/>
  <c r="I68" i="71"/>
  <c r="I154" i="71"/>
  <c r="I111" i="71"/>
  <c r="I239" i="71"/>
  <c r="K438" i="56"/>
  <c r="J24" i="71"/>
  <c r="H185" i="71"/>
  <c r="H187" i="71" s="1"/>
  <c r="H227" i="71"/>
  <c r="H229" i="71" s="1"/>
  <c r="H432" i="56"/>
  <c r="J110" i="71"/>
  <c r="J67" i="71"/>
  <c r="J153" i="71"/>
  <c r="J238" i="71"/>
  <c r="J196" i="71"/>
  <c r="F104" i="71"/>
  <c r="F190" i="71"/>
  <c r="F147" i="71"/>
  <c r="F232" i="71"/>
  <c r="F61" i="71"/>
  <c r="J113" i="71"/>
  <c r="J241" i="71"/>
  <c r="J156" i="71"/>
  <c r="J70" i="71"/>
  <c r="J199" i="71"/>
  <c r="C305" i="56"/>
  <c r="J155" i="71"/>
  <c r="J198" i="71"/>
  <c r="J240" i="71"/>
  <c r="J69" i="71"/>
  <c r="J112" i="71"/>
  <c r="K186" i="71"/>
  <c r="K100" i="71"/>
  <c r="K143" i="71"/>
  <c r="K57" i="71"/>
  <c r="K228" i="71"/>
  <c r="K26" i="71"/>
  <c r="L440" i="56"/>
  <c r="I98" i="71"/>
  <c r="I184" i="71"/>
  <c r="I55" i="71"/>
  <c r="I226" i="71"/>
  <c r="I141" i="71"/>
  <c r="H99" i="71"/>
  <c r="H101" i="71" s="1"/>
  <c r="K25" i="71"/>
  <c r="L439" i="56"/>
  <c r="M428" i="56"/>
  <c r="L15" i="71"/>
  <c r="J192" i="71"/>
  <c r="J234" i="71"/>
  <c r="J106" i="71"/>
  <c r="J63" i="71"/>
  <c r="J149" i="71"/>
  <c r="K425" i="56"/>
  <c r="J12" i="71"/>
  <c r="J426" i="56"/>
  <c r="J13" i="71" s="1"/>
  <c r="G19" i="71"/>
  <c r="G442" i="56"/>
  <c r="K20" i="71"/>
  <c r="L433" i="56"/>
  <c r="J148" i="71"/>
  <c r="J233" i="71"/>
  <c r="J62" i="71"/>
  <c r="J191" i="71"/>
  <c r="J105" i="71"/>
  <c r="F444" i="56"/>
  <c r="F445" i="56" s="1"/>
  <c r="F446" i="56"/>
  <c r="F448" i="56"/>
  <c r="K23" i="71"/>
  <c r="L437" i="56"/>
  <c r="I427" i="56"/>
  <c r="I429" i="56" s="1"/>
  <c r="H142" i="71"/>
  <c r="H144" i="71" s="1"/>
  <c r="K21" i="71"/>
  <c r="L434" i="56"/>
  <c r="I97" i="71"/>
  <c r="I14" i="71"/>
  <c r="I16" i="71" s="1"/>
  <c r="I140" i="71"/>
  <c r="I54" i="71"/>
  <c r="I225" i="71"/>
  <c r="I183" i="71"/>
  <c r="C279" i="56"/>
  <c r="A280" i="56"/>
  <c r="B280" i="56" s="1"/>
  <c r="C280" i="56" s="1"/>
  <c r="A327" i="56"/>
  <c r="B327" i="56" s="1"/>
  <c r="C327" i="56" s="1"/>
  <c r="C326" i="56"/>
  <c r="C255" i="56"/>
  <c r="A256" i="56"/>
  <c r="B256" i="56" s="1"/>
  <c r="C256" i="56" s="1"/>
  <c r="C231" i="56"/>
  <c r="A232" i="56"/>
  <c r="B232" i="56" s="1"/>
  <c r="C232" i="56" s="1"/>
  <c r="C183" i="56"/>
  <c r="A159" i="56"/>
  <c r="B159" i="56" s="1"/>
  <c r="C159" i="56" s="1"/>
  <c r="C158" i="56"/>
  <c r="I158" i="56" s="1"/>
  <c r="G173" i="71"/>
  <c r="G275" i="71" s="1"/>
  <c r="G290" i="71"/>
  <c r="H166" i="71"/>
  <c r="I161" i="71"/>
  <c r="E216" i="71"/>
  <c r="E277" i="71" s="1"/>
  <c r="E292" i="71"/>
  <c r="G204" i="71"/>
  <c r="F209" i="71"/>
  <c r="C206" i="56"/>
  <c r="A207" i="56"/>
  <c r="B207" i="56" s="1"/>
  <c r="F246" i="71"/>
  <c r="E251" i="71"/>
  <c r="E258" i="71" s="1"/>
  <c r="E279" i="71" s="1"/>
  <c r="K485" i="71"/>
  <c r="L475" i="71"/>
  <c r="L478" i="71"/>
  <c r="M474" i="71"/>
  <c r="N426" i="71"/>
  <c r="L410" i="71"/>
  <c r="L195" i="71" s="1"/>
  <c r="L411" i="71"/>
  <c r="L237" i="71" s="1"/>
  <c r="M406" i="71"/>
  <c r="L413" i="71"/>
  <c r="L421" i="71" s="1"/>
  <c r="L409" i="71"/>
  <c r="L152" i="71" s="1"/>
  <c r="C233" i="56" l="1"/>
  <c r="B350" i="56" s="1"/>
  <c r="I142" i="71"/>
  <c r="I144" i="71" s="1"/>
  <c r="I99" i="71"/>
  <c r="I101" i="71" s="1"/>
  <c r="C257" i="56"/>
  <c r="J239" i="71"/>
  <c r="J197" i="71"/>
  <c r="J154" i="71"/>
  <c r="J111" i="71"/>
  <c r="J68" i="71"/>
  <c r="K24" i="71"/>
  <c r="L438" i="56"/>
  <c r="I227" i="71"/>
  <c r="I229" i="71" s="1"/>
  <c r="I56" i="71"/>
  <c r="I58" i="71" s="1"/>
  <c r="C281" i="56"/>
  <c r="B352" i="56" s="1"/>
  <c r="G104" i="71"/>
  <c r="G61" i="71"/>
  <c r="G232" i="71"/>
  <c r="G190" i="71"/>
  <c r="G147" i="71"/>
  <c r="J140" i="71"/>
  <c r="J225" i="71"/>
  <c r="J183" i="71"/>
  <c r="J97" i="71"/>
  <c r="J14" i="71"/>
  <c r="J16" i="71" s="1"/>
  <c r="J54" i="71"/>
  <c r="L23" i="71"/>
  <c r="M437" i="56"/>
  <c r="M433" i="56"/>
  <c r="L20" i="71"/>
  <c r="K70" i="71"/>
  <c r="K199" i="71"/>
  <c r="K113" i="71"/>
  <c r="K156" i="71"/>
  <c r="K241" i="71"/>
  <c r="M439" i="56"/>
  <c r="L25" i="71"/>
  <c r="F450" i="56"/>
  <c r="F451" i="56" s="1"/>
  <c r="F452" i="56"/>
  <c r="K63" i="71"/>
  <c r="K106" i="71"/>
  <c r="K234" i="71"/>
  <c r="K192" i="71"/>
  <c r="K149" i="71"/>
  <c r="I432" i="56"/>
  <c r="M440" i="56"/>
  <c r="L26" i="71"/>
  <c r="K153" i="71"/>
  <c r="K238" i="71"/>
  <c r="K110" i="71"/>
  <c r="K67" i="71"/>
  <c r="K196" i="71"/>
  <c r="K105" i="71"/>
  <c r="K233" i="71"/>
  <c r="K62" i="71"/>
  <c r="K191" i="71"/>
  <c r="K148" i="71"/>
  <c r="L100" i="71"/>
  <c r="L143" i="71"/>
  <c r="L228" i="71"/>
  <c r="L186" i="71"/>
  <c r="L57" i="71"/>
  <c r="J427" i="56"/>
  <c r="J429" i="56" s="1"/>
  <c r="K12" i="71"/>
  <c r="L425" i="56"/>
  <c r="K426" i="56"/>
  <c r="K13" i="71" s="1"/>
  <c r="M434" i="56"/>
  <c r="L21" i="71"/>
  <c r="H19" i="71"/>
  <c r="H442" i="56"/>
  <c r="I185" i="71"/>
  <c r="I187" i="71" s="1"/>
  <c r="G444" i="56"/>
  <c r="G445" i="56" s="1"/>
  <c r="G446" i="56"/>
  <c r="G448" i="56"/>
  <c r="M15" i="71"/>
  <c r="N428" i="56"/>
  <c r="J141" i="71"/>
  <c r="J184" i="71"/>
  <c r="J55" i="71"/>
  <c r="J226" i="71"/>
  <c r="J98" i="71"/>
  <c r="K240" i="71"/>
  <c r="K198" i="71"/>
  <c r="K69" i="71"/>
  <c r="K112" i="71"/>
  <c r="K155" i="71"/>
  <c r="C328" i="56"/>
  <c r="C185" i="56"/>
  <c r="C184" i="56"/>
  <c r="I159" i="56"/>
  <c r="C160" i="56"/>
  <c r="B347" i="56" s="1"/>
  <c r="F292" i="71"/>
  <c r="F216" i="71"/>
  <c r="F277" i="71" s="1"/>
  <c r="D302" i="71" s="1"/>
  <c r="C207" i="56"/>
  <c r="A208" i="56"/>
  <c r="B208" i="56" s="1"/>
  <c r="C208" i="56" s="1"/>
  <c r="H173" i="71"/>
  <c r="H275" i="71" s="1"/>
  <c r="H290" i="71"/>
  <c r="J161" i="71"/>
  <c r="I166" i="71"/>
  <c r="F251" i="71"/>
  <c r="F258" i="71" s="1"/>
  <c r="F279" i="71" s="1"/>
  <c r="D303" i="71" s="1"/>
  <c r="G246" i="71"/>
  <c r="H204" i="71"/>
  <c r="G209" i="71"/>
  <c r="M478" i="71"/>
  <c r="N474" i="71"/>
  <c r="M475" i="71"/>
  <c r="L485" i="71"/>
  <c r="O426" i="71"/>
  <c r="M410" i="71"/>
  <c r="M195" i="71" s="1"/>
  <c r="M411" i="71"/>
  <c r="M237" i="71" s="1"/>
  <c r="M413" i="71"/>
  <c r="M421" i="71" s="1"/>
  <c r="M409" i="71"/>
  <c r="M152" i="71" s="1"/>
  <c r="N406" i="71"/>
  <c r="O15" i="11" l="1"/>
  <c r="O16" i="11"/>
  <c r="O20" i="11"/>
  <c r="O11" i="11"/>
  <c r="W11" i="11" s="1"/>
  <c r="O18" i="11"/>
  <c r="O19" i="11"/>
  <c r="O22" i="11"/>
  <c r="O12" i="11"/>
  <c r="O13" i="11"/>
  <c r="O14" i="11"/>
  <c r="O17" i="11"/>
  <c r="B351" i="56"/>
  <c r="D351" i="56" s="1"/>
  <c r="E351" i="56" s="1"/>
  <c r="D350" i="56"/>
  <c r="E350" i="56" s="1"/>
  <c r="B322" i="71"/>
  <c r="C322" i="71" s="1"/>
  <c r="B323" i="71"/>
  <c r="B324" i="71"/>
  <c r="B325" i="71"/>
  <c r="C325" i="71" s="1" a="1"/>
  <c r="C325" i="71" s="1"/>
  <c r="B326" i="71"/>
  <c r="C326" i="71" s="1" a="1"/>
  <c r="C326" i="71" s="1"/>
  <c r="B327" i="71"/>
  <c r="C327" i="71" s="1" a="1"/>
  <c r="C327" i="71" s="1"/>
  <c r="K427" i="56"/>
  <c r="K429" i="56" s="1"/>
  <c r="K432" i="56" s="1"/>
  <c r="M438" i="56"/>
  <c r="L24" i="71"/>
  <c r="K68" i="71"/>
  <c r="K239" i="71"/>
  <c r="K154" i="71"/>
  <c r="K197" i="71"/>
  <c r="K111" i="71"/>
  <c r="J142" i="71"/>
  <c r="J144" i="71" s="1"/>
  <c r="L240" i="71"/>
  <c r="L69" i="71"/>
  <c r="L155" i="71"/>
  <c r="L112" i="71"/>
  <c r="L198" i="71"/>
  <c r="L238" i="71"/>
  <c r="L110" i="71"/>
  <c r="L196" i="71"/>
  <c r="L153" i="71"/>
  <c r="L67" i="71"/>
  <c r="H444" i="56"/>
  <c r="H445" i="56" s="1"/>
  <c r="H446" i="56"/>
  <c r="H448" i="56"/>
  <c r="L113" i="71"/>
  <c r="L199" i="71"/>
  <c r="L70" i="71"/>
  <c r="L156" i="71"/>
  <c r="L241" i="71"/>
  <c r="N439" i="56"/>
  <c r="M25" i="71"/>
  <c r="J99" i="71"/>
  <c r="J101" i="71" s="1"/>
  <c r="N15" i="71"/>
  <c r="O428" i="56"/>
  <c r="H147" i="71"/>
  <c r="H104" i="71"/>
  <c r="H61" i="71"/>
  <c r="H190" i="71"/>
  <c r="H232" i="71"/>
  <c r="M26" i="71"/>
  <c r="N440" i="56"/>
  <c r="J185" i="71"/>
  <c r="J187" i="71" s="1"/>
  <c r="J56" i="71"/>
  <c r="J58" i="71" s="1"/>
  <c r="M228" i="71"/>
  <c r="M186" i="71"/>
  <c r="M100" i="71"/>
  <c r="M57" i="71"/>
  <c r="M143" i="71"/>
  <c r="L63" i="71"/>
  <c r="L192" i="71"/>
  <c r="L149" i="71"/>
  <c r="L234" i="71"/>
  <c r="L106" i="71"/>
  <c r="J227" i="71"/>
  <c r="J229" i="71" s="1"/>
  <c r="M21" i="71"/>
  <c r="N434" i="56"/>
  <c r="I19" i="71"/>
  <c r="I442" i="56"/>
  <c r="G450" i="56"/>
  <c r="G451" i="56" s="1"/>
  <c r="G452" i="56"/>
  <c r="K226" i="71"/>
  <c r="K184" i="71"/>
  <c r="K141" i="71"/>
  <c r="K55" i="71"/>
  <c r="K98" i="71"/>
  <c r="L12" i="71"/>
  <c r="M425" i="56"/>
  <c r="L426" i="56"/>
  <c r="L13" i="71" s="1"/>
  <c r="L148" i="71"/>
  <c r="L191" i="71"/>
  <c r="L105" i="71"/>
  <c r="L233" i="71"/>
  <c r="L62" i="71"/>
  <c r="K183" i="71"/>
  <c r="K225" i="71"/>
  <c r="K140" i="71"/>
  <c r="K14" i="71"/>
  <c r="K16" i="71" s="1"/>
  <c r="K97" i="71"/>
  <c r="K54" i="71"/>
  <c r="M20" i="71"/>
  <c r="N433" i="56"/>
  <c r="J432" i="56"/>
  <c r="N437" i="56"/>
  <c r="M23" i="71"/>
  <c r="C186" i="56"/>
  <c r="B348" i="56" s="1"/>
  <c r="D347" i="56"/>
  <c r="E347" i="56" s="1"/>
  <c r="C209" i="56"/>
  <c r="B349" i="56" s="1"/>
  <c r="Q21" i="11" s="1"/>
  <c r="K161" i="71"/>
  <c r="J166" i="71"/>
  <c r="I173" i="71"/>
  <c r="I275" i="71" s="1"/>
  <c r="I290" i="71"/>
  <c r="G216" i="71"/>
  <c r="G277" i="71" s="1"/>
  <c r="G292" i="71"/>
  <c r="I204" i="71"/>
  <c r="H209" i="71"/>
  <c r="H246" i="71"/>
  <c r="G251" i="71"/>
  <c r="G258" i="71" s="1"/>
  <c r="G279" i="71" s="1"/>
  <c r="M485" i="71"/>
  <c r="O474" i="71"/>
  <c r="N478" i="71"/>
  <c r="N475" i="71"/>
  <c r="P426" i="71"/>
  <c r="N409" i="71"/>
  <c r="N152" i="71" s="1"/>
  <c r="O406" i="71"/>
  <c r="N411" i="71"/>
  <c r="N237" i="71" s="1"/>
  <c r="N410" i="71"/>
  <c r="N195" i="71" s="1"/>
  <c r="N413" i="71"/>
  <c r="N421" i="71" s="1"/>
  <c r="B348" i="71" l="1"/>
  <c r="B347" i="71"/>
  <c r="B346" i="71"/>
  <c r="B349" i="71"/>
  <c r="B351" i="71"/>
  <c r="B350" i="71"/>
  <c r="X14" i="11"/>
  <c r="W14" i="11"/>
  <c r="AC14" i="11"/>
  <c r="AD14" i="11"/>
  <c r="W17" i="11"/>
  <c r="AD17" i="11"/>
  <c r="AC17" i="11"/>
  <c r="W13" i="11"/>
  <c r="AX12" i="11"/>
  <c r="BL12" i="11"/>
  <c r="W12" i="11"/>
  <c r="AD12" i="11"/>
  <c r="W22" i="11"/>
  <c r="X22" i="11"/>
  <c r="AC22" i="11"/>
  <c r="X19" i="11"/>
  <c r="W19" i="11"/>
  <c r="AD19" i="11"/>
  <c r="AC19" i="11"/>
  <c r="W18" i="11"/>
  <c r="AP12" i="11" s="1"/>
  <c r="AC18" i="11"/>
  <c r="X18" i="11"/>
  <c r="AT12" i="11" s="1"/>
  <c r="BO11" i="11" a="1"/>
  <c r="BO11" i="11" s="1"/>
  <c r="AX13" i="11"/>
  <c r="BO14" i="11" a="1"/>
  <c r="BO14" i="11" s="1"/>
  <c r="BL13" i="11"/>
  <c r="BO13" i="11" a="1"/>
  <c r="BO13" i="11" s="1"/>
  <c r="BO12" i="11" a="1"/>
  <c r="BO12" i="11" s="1"/>
  <c r="AD20" i="11"/>
  <c r="W20" i="11"/>
  <c r="X20" i="11"/>
  <c r="AT14" i="11" s="1"/>
  <c r="AC20" i="11"/>
  <c r="BL11" i="11"/>
  <c r="AX11" i="11"/>
  <c r="W16" i="11"/>
  <c r="AD16" i="11"/>
  <c r="AC16" i="11"/>
  <c r="X16" i="11"/>
  <c r="AD15" i="11"/>
  <c r="D352" i="56"/>
  <c r="E352" i="56" s="1"/>
  <c r="B354" i="71"/>
  <c r="B355" i="71"/>
  <c r="B359" i="71"/>
  <c r="B356" i="71"/>
  <c r="B357" i="71"/>
  <c r="B358" i="71"/>
  <c r="E327" i="71" a="1"/>
  <c r="E327" i="71" s="1"/>
  <c r="K327" i="71" a="1"/>
  <c r="K327" i="71" s="1"/>
  <c r="I327" i="71" a="1"/>
  <c r="I327" i="71" s="1"/>
  <c r="Q327" i="71" a="1"/>
  <c r="Q327" i="71" s="1"/>
  <c r="V327" i="71" a="1"/>
  <c r="V327" i="71" s="1"/>
  <c r="D327" i="71" a="1"/>
  <c r="D327" i="71" s="1"/>
  <c r="O327" i="71" a="1"/>
  <c r="O327" i="71" s="1"/>
  <c r="S327" i="71" a="1"/>
  <c r="S327" i="71" s="1"/>
  <c r="N327" i="71" a="1"/>
  <c r="N327" i="71" s="1"/>
  <c r="G327" i="71" a="1"/>
  <c r="G327" i="71" s="1"/>
  <c r="J327" i="71" a="1"/>
  <c r="J327" i="71" s="1"/>
  <c r="L327" i="71" a="1"/>
  <c r="L327" i="71" s="1"/>
  <c r="H327" i="71" a="1"/>
  <c r="H327" i="71" s="1"/>
  <c r="F327" i="71" a="1"/>
  <c r="F327" i="71" s="1"/>
  <c r="M327" i="71" a="1"/>
  <c r="M327" i="71" s="1"/>
  <c r="P327" i="71" a="1"/>
  <c r="P327" i="71" s="1"/>
  <c r="T327" i="71" a="1"/>
  <c r="T327" i="71" s="1"/>
  <c r="R327" i="71" a="1"/>
  <c r="R327" i="71" s="1"/>
  <c r="U327" i="71" a="1"/>
  <c r="U327" i="71" s="1"/>
  <c r="I326" i="71" a="1"/>
  <c r="I326" i="71" s="1"/>
  <c r="H326" i="71" a="1"/>
  <c r="H326" i="71" s="1"/>
  <c r="V326" i="71" a="1"/>
  <c r="V326" i="71" s="1"/>
  <c r="F326" i="71" a="1"/>
  <c r="F326" i="71" s="1"/>
  <c r="E326" i="71" a="1"/>
  <c r="E326" i="71" s="1"/>
  <c r="P326" i="71" a="1"/>
  <c r="P326" i="71" s="1"/>
  <c r="J326" i="71" a="1"/>
  <c r="J326" i="71" s="1"/>
  <c r="O326" i="71" a="1"/>
  <c r="O326" i="71" s="1"/>
  <c r="N326" i="71" a="1"/>
  <c r="N326" i="71" s="1"/>
  <c r="G326" i="71" a="1"/>
  <c r="G326" i="71" s="1"/>
  <c r="L326" i="71" a="1"/>
  <c r="L326" i="71" s="1"/>
  <c r="Q326" i="71" a="1"/>
  <c r="Q326" i="71" s="1"/>
  <c r="K326" i="71" a="1"/>
  <c r="K326" i="71" s="1"/>
  <c r="S326" i="71" a="1"/>
  <c r="S326" i="71" s="1"/>
  <c r="T326" i="71" a="1"/>
  <c r="T326" i="71" s="1"/>
  <c r="D326" i="71" a="1"/>
  <c r="D326" i="71" s="1"/>
  <c r="R326" i="71" a="1"/>
  <c r="R326" i="71" s="1"/>
  <c r="U326" i="71" a="1"/>
  <c r="U326" i="71" s="1"/>
  <c r="M326" i="71" a="1"/>
  <c r="M326" i="71" s="1"/>
  <c r="D349" i="56"/>
  <c r="E349" i="56" s="1"/>
  <c r="B339" i="71"/>
  <c r="B340" i="71"/>
  <c r="B341" i="71"/>
  <c r="B342" i="71"/>
  <c r="B343" i="71"/>
  <c r="B338" i="71"/>
  <c r="C338" i="71" s="1"/>
  <c r="G325" i="71" a="1"/>
  <c r="G325" i="71" s="1"/>
  <c r="D325" i="71" a="1"/>
  <c r="D325" i="71" s="1"/>
  <c r="F325" i="71" a="1"/>
  <c r="F325" i="71" s="1"/>
  <c r="I325" i="71" a="1"/>
  <c r="I325" i="71" s="1"/>
  <c r="M325" i="71" a="1"/>
  <c r="M325" i="71" s="1"/>
  <c r="H325" i="71" a="1"/>
  <c r="H325" i="71" s="1"/>
  <c r="E325" i="71" a="1"/>
  <c r="E325" i="71" s="1"/>
  <c r="S325" i="71" a="1"/>
  <c r="S325" i="71" s="1"/>
  <c r="K325" i="71" a="1"/>
  <c r="K325" i="71" s="1"/>
  <c r="O325" i="71" a="1"/>
  <c r="O325" i="71" s="1"/>
  <c r="L325" i="71" a="1"/>
  <c r="L325" i="71" s="1"/>
  <c r="V325" i="71" a="1"/>
  <c r="V325" i="71" s="1"/>
  <c r="J325" i="71" a="1"/>
  <c r="J325" i="71" s="1"/>
  <c r="R325" i="71" a="1"/>
  <c r="R325" i="71" s="1"/>
  <c r="N325" i="71" a="1"/>
  <c r="N325" i="71" s="1"/>
  <c r="U325" i="71" a="1"/>
  <c r="U325" i="71" s="1"/>
  <c r="T325" i="71" a="1"/>
  <c r="T325" i="71" s="1"/>
  <c r="Q325" i="71" a="1"/>
  <c r="Q325" i="71" s="1"/>
  <c r="P325" i="71" a="1"/>
  <c r="P325" i="71" s="1"/>
  <c r="B334" i="71"/>
  <c r="B335" i="71"/>
  <c r="B330" i="71"/>
  <c r="B333" i="71"/>
  <c r="B331" i="71"/>
  <c r="B332" i="71"/>
  <c r="K227" i="71"/>
  <c r="K229" i="71" s="1"/>
  <c r="B374" i="56"/>
  <c r="W8" i="92" s="1"/>
  <c r="L111" i="71"/>
  <c r="L239" i="71"/>
  <c r="L154" i="71"/>
  <c r="L197" i="71"/>
  <c r="L68" i="71"/>
  <c r="N438" i="56"/>
  <c r="M24" i="71"/>
  <c r="K56" i="71"/>
  <c r="K58" i="71" s="1"/>
  <c r="H450" i="56"/>
  <c r="H451" i="56" s="1"/>
  <c r="H452" i="56"/>
  <c r="M110" i="71"/>
  <c r="M67" i="71"/>
  <c r="M196" i="71"/>
  <c r="M238" i="71"/>
  <c r="M153" i="71"/>
  <c r="O15" i="71"/>
  <c r="P428" i="56"/>
  <c r="K185" i="71"/>
  <c r="K187" i="71" s="1"/>
  <c r="N143" i="71"/>
  <c r="N57" i="71"/>
  <c r="N186" i="71"/>
  <c r="N100" i="71"/>
  <c r="N228" i="71"/>
  <c r="K19" i="71"/>
  <c r="K442" i="56"/>
  <c r="O437" i="56"/>
  <c r="N23" i="71"/>
  <c r="J19" i="71"/>
  <c r="J442" i="56"/>
  <c r="N20" i="71"/>
  <c r="O433" i="56"/>
  <c r="M198" i="71"/>
  <c r="M240" i="71"/>
  <c r="M112" i="71"/>
  <c r="M155" i="71"/>
  <c r="M69" i="71"/>
  <c r="L98" i="71"/>
  <c r="L184" i="71"/>
  <c r="L141" i="71"/>
  <c r="L226" i="71"/>
  <c r="L55" i="71"/>
  <c r="N25" i="71"/>
  <c r="O439" i="56"/>
  <c r="N425" i="56"/>
  <c r="M12" i="71"/>
  <c r="M426" i="56"/>
  <c r="M13" i="71" s="1"/>
  <c r="I444" i="56"/>
  <c r="I445" i="56" s="1"/>
  <c r="I446" i="56"/>
  <c r="I448" i="56"/>
  <c r="N26" i="71"/>
  <c r="O440" i="56"/>
  <c r="L427" i="56"/>
  <c r="L429" i="56" s="1"/>
  <c r="O434" i="56"/>
  <c r="N21" i="71"/>
  <c r="M148" i="71"/>
  <c r="M191" i="71"/>
  <c r="M105" i="71"/>
  <c r="M62" i="71"/>
  <c r="M233" i="71"/>
  <c r="K99" i="71"/>
  <c r="K101" i="71" s="1"/>
  <c r="L97" i="71"/>
  <c r="L140" i="71"/>
  <c r="L183" i="71"/>
  <c r="L225" i="71"/>
  <c r="L54" i="71"/>
  <c r="L56" i="71" s="1"/>
  <c r="L58" i="71" s="1"/>
  <c r="L14" i="71"/>
  <c r="L16" i="71" s="1"/>
  <c r="I61" i="71"/>
  <c r="I104" i="71"/>
  <c r="I147" i="71"/>
  <c r="I190" i="71"/>
  <c r="I232" i="71"/>
  <c r="M113" i="71"/>
  <c r="M241" i="71"/>
  <c r="M70" i="71"/>
  <c r="M156" i="71"/>
  <c r="M199" i="71"/>
  <c r="K142" i="71"/>
  <c r="K144" i="71" s="1"/>
  <c r="M234" i="71"/>
  <c r="M63" i="71"/>
  <c r="M106" i="71"/>
  <c r="M149" i="71"/>
  <c r="M192" i="71"/>
  <c r="D348" i="56"/>
  <c r="E348" i="56" s="1"/>
  <c r="B375" i="56" s="1"/>
  <c r="W10" i="92" s="1"/>
  <c r="J290" i="71"/>
  <c r="J173" i="71"/>
  <c r="J275" i="71" s="1"/>
  <c r="J204" i="71"/>
  <c r="I209" i="71"/>
  <c r="H251" i="71"/>
  <c r="H258" i="71" s="1"/>
  <c r="H279" i="71" s="1"/>
  <c r="I246" i="71"/>
  <c r="H292" i="71"/>
  <c r="H216" i="71"/>
  <c r="H277" i="71" s="1"/>
  <c r="K166" i="71"/>
  <c r="L161" i="71"/>
  <c r="N485" i="71"/>
  <c r="O478" i="71"/>
  <c r="O475" i="71"/>
  <c r="P474" i="71"/>
  <c r="O409" i="71"/>
  <c r="O152" i="71" s="1"/>
  <c r="P406" i="71"/>
  <c r="O411" i="71"/>
  <c r="O237" i="71" s="1"/>
  <c r="O410" i="71"/>
  <c r="O195" i="71" s="1"/>
  <c r="O413" i="71"/>
  <c r="O421" i="71" s="1"/>
  <c r="Q426" i="71"/>
  <c r="G19" i="92" l="1"/>
  <c r="G20" i="92"/>
  <c r="N20" i="92"/>
  <c r="N19" i="92"/>
  <c r="M333" i="71" a="1"/>
  <c r="M333" i="71" s="1"/>
  <c r="N333" i="71" a="1"/>
  <c r="N333" i="71" s="1"/>
  <c r="D333" i="71" a="1"/>
  <c r="D333" i="71" s="1"/>
  <c r="O333" i="71" a="1"/>
  <c r="O333" i="71" s="1"/>
  <c r="E333" i="71" a="1"/>
  <c r="E333" i="71" s="1"/>
  <c r="F333" i="71" a="1"/>
  <c r="F333" i="71" s="1"/>
  <c r="P333" i="71" a="1"/>
  <c r="P333" i="71" s="1"/>
  <c r="V333" i="71" a="1"/>
  <c r="V333" i="71" s="1"/>
  <c r="G333" i="71" a="1"/>
  <c r="G333" i="71" s="1"/>
  <c r="Q333" i="71" a="1"/>
  <c r="Q333" i="71" s="1"/>
  <c r="H333" i="71" a="1"/>
  <c r="H333" i="71" s="1"/>
  <c r="R333" i="71" a="1"/>
  <c r="R333" i="71" s="1"/>
  <c r="I333" i="71" a="1"/>
  <c r="I333" i="71" s="1"/>
  <c r="S333" i="71" a="1"/>
  <c r="S333" i="71" s="1"/>
  <c r="T333" i="71" a="1"/>
  <c r="T333" i="71" s="1"/>
  <c r="J333" i="71" a="1"/>
  <c r="J333" i="71" s="1"/>
  <c r="U333" i="71" a="1"/>
  <c r="U333" i="71" s="1"/>
  <c r="C333" i="71" a="1"/>
  <c r="C333" i="71" s="1"/>
  <c r="K333" i="71" a="1"/>
  <c r="K333" i="71" s="1"/>
  <c r="L333" i="71" a="1"/>
  <c r="L333" i="71" s="1"/>
  <c r="D343" i="71" a="1"/>
  <c r="D343" i="71" s="1"/>
  <c r="N343" i="71" a="1"/>
  <c r="N343" i="71" s="1"/>
  <c r="E343" i="71" a="1"/>
  <c r="E343" i="71" s="1"/>
  <c r="O343" i="71" a="1"/>
  <c r="O343" i="71" s="1"/>
  <c r="F343" i="71" a="1"/>
  <c r="F343" i="71" s="1"/>
  <c r="P343" i="71" a="1"/>
  <c r="P343" i="71" s="1"/>
  <c r="G343" i="71" a="1"/>
  <c r="G343" i="71" s="1"/>
  <c r="Q343" i="71" a="1"/>
  <c r="Q343" i="71" s="1"/>
  <c r="R343" i="71" a="1"/>
  <c r="R343" i="71" s="1"/>
  <c r="M343" i="71" a="1"/>
  <c r="M343" i="71" s="1"/>
  <c r="H343" i="71" a="1"/>
  <c r="H343" i="71" s="1"/>
  <c r="S343" i="71" a="1"/>
  <c r="S343" i="71" s="1"/>
  <c r="I343" i="71" a="1"/>
  <c r="I343" i="71" s="1"/>
  <c r="T343" i="71" a="1"/>
  <c r="T343" i="71" s="1"/>
  <c r="J343" i="71" a="1"/>
  <c r="J343" i="71" s="1"/>
  <c r="U343" i="71" a="1"/>
  <c r="U343" i="71" s="1"/>
  <c r="K343" i="71" a="1"/>
  <c r="K343" i="71" s="1"/>
  <c r="V343" i="71" a="1"/>
  <c r="V343" i="71" s="1"/>
  <c r="L343" i="71" a="1"/>
  <c r="L343" i="71" s="1"/>
  <c r="C343" i="71" a="1"/>
  <c r="C343" i="71" s="1"/>
  <c r="C330" i="71"/>
  <c r="D330" i="71"/>
  <c r="D331" i="71" s="1"/>
  <c r="J330" i="71"/>
  <c r="J331" i="71" s="1"/>
  <c r="J332" i="71" s="1"/>
  <c r="P330" i="71"/>
  <c r="P331" i="71" s="1"/>
  <c r="P332" i="71" s="1"/>
  <c r="V330" i="71"/>
  <c r="V331" i="71" s="1"/>
  <c r="V332" i="71" s="1"/>
  <c r="E330" i="71"/>
  <c r="K330" i="71"/>
  <c r="Q330" i="71"/>
  <c r="Q331" i="71" s="1"/>
  <c r="Q332" i="71" s="1"/>
  <c r="L330" i="71"/>
  <c r="F330" i="71"/>
  <c r="F331" i="71" s="1"/>
  <c r="F332" i="71" s="1"/>
  <c r="M330" i="71"/>
  <c r="R330" i="71"/>
  <c r="R331" i="71" s="1"/>
  <c r="R332" i="71" s="1"/>
  <c r="N330" i="71"/>
  <c r="G330" i="71"/>
  <c r="G331" i="71" s="1"/>
  <c r="G332" i="71" s="1"/>
  <c r="O330" i="71"/>
  <c r="O331" i="71" s="1"/>
  <c r="O332" i="71" s="1"/>
  <c r="S330" i="71"/>
  <c r="S331" i="71" s="1"/>
  <c r="S332" i="71" s="1"/>
  <c r="H330" i="71"/>
  <c r="H331" i="71" s="1"/>
  <c r="H332" i="71" s="1"/>
  <c r="T330" i="71"/>
  <c r="I330" i="71"/>
  <c r="I331" i="71" s="1"/>
  <c r="I332" i="71" s="1"/>
  <c r="U330" i="71"/>
  <c r="U331" i="71" s="1"/>
  <c r="U332" i="71" s="1"/>
  <c r="L342" i="71" a="1"/>
  <c r="L342" i="71" s="1"/>
  <c r="V342" i="71" a="1"/>
  <c r="V342" i="71" s="1"/>
  <c r="M342" i="71" a="1"/>
  <c r="M342" i="71" s="1"/>
  <c r="N342" i="71" a="1"/>
  <c r="N342" i="71" s="1"/>
  <c r="D342" i="71" a="1"/>
  <c r="D342" i="71" s="1"/>
  <c r="E342" i="71" a="1"/>
  <c r="E342" i="71" s="1"/>
  <c r="O342" i="71" a="1"/>
  <c r="O342" i="71" s="1"/>
  <c r="F342" i="71" a="1"/>
  <c r="F342" i="71" s="1"/>
  <c r="P342" i="71" a="1"/>
  <c r="P342" i="71" s="1"/>
  <c r="G342" i="71" a="1"/>
  <c r="G342" i="71" s="1"/>
  <c r="Q342" i="71" a="1"/>
  <c r="Q342" i="71" s="1"/>
  <c r="U342" i="71" a="1"/>
  <c r="U342" i="71" s="1"/>
  <c r="H342" i="71" a="1"/>
  <c r="H342" i="71" s="1"/>
  <c r="R342" i="71" a="1"/>
  <c r="R342" i="71" s="1"/>
  <c r="C342" i="71" a="1"/>
  <c r="C342" i="71" s="1"/>
  <c r="S342" i="71" a="1"/>
  <c r="S342" i="71" s="1"/>
  <c r="I342" i="71" a="1"/>
  <c r="I342" i="71" s="1"/>
  <c r="T342" i="71" a="1"/>
  <c r="T342" i="71" s="1"/>
  <c r="J342" i="71" a="1"/>
  <c r="J342" i="71" s="1"/>
  <c r="K342" i="71" a="1"/>
  <c r="K342" i="71" s="1"/>
  <c r="F335" i="71" a="1"/>
  <c r="F335" i="71" s="1"/>
  <c r="P335" i="71" a="1"/>
  <c r="P335" i="71" s="1"/>
  <c r="O335" i="71" a="1"/>
  <c r="O335" i="71" s="1"/>
  <c r="G335" i="71" a="1"/>
  <c r="G335" i="71" s="1"/>
  <c r="Q335" i="71" a="1"/>
  <c r="Q335" i="71" s="1"/>
  <c r="R335" i="71" a="1"/>
  <c r="R335" i="71" s="1"/>
  <c r="E335" i="71" a="1"/>
  <c r="E335" i="71" s="1"/>
  <c r="H335" i="71" a="1"/>
  <c r="H335" i="71" s="1"/>
  <c r="S335" i="71" a="1"/>
  <c r="S335" i="71" s="1"/>
  <c r="I335" i="71" a="1"/>
  <c r="I335" i="71" s="1"/>
  <c r="T335" i="71" a="1"/>
  <c r="T335" i="71" s="1"/>
  <c r="J335" i="71" a="1"/>
  <c r="J335" i="71" s="1"/>
  <c r="U335" i="71" a="1"/>
  <c r="U335" i="71" s="1"/>
  <c r="K335" i="71" a="1"/>
  <c r="K335" i="71" s="1"/>
  <c r="V335" i="71" a="1"/>
  <c r="V335" i="71" s="1"/>
  <c r="L335" i="71" a="1"/>
  <c r="L335" i="71" s="1"/>
  <c r="C335" i="71" a="1"/>
  <c r="C335" i="71" s="1"/>
  <c r="M335" i="71" a="1"/>
  <c r="M335" i="71" s="1"/>
  <c r="D335" i="71" a="1"/>
  <c r="D335" i="71" s="1"/>
  <c r="N335" i="71" a="1"/>
  <c r="N335" i="71" s="1"/>
  <c r="J341" i="71" a="1"/>
  <c r="J341" i="71" s="1"/>
  <c r="U341" i="71" a="1"/>
  <c r="U341" i="71" s="1"/>
  <c r="C341" i="71" a="1"/>
  <c r="C341" i="71" s="1"/>
  <c r="K341" i="71" a="1"/>
  <c r="K341" i="71" s="1"/>
  <c r="L341" i="71" a="1"/>
  <c r="L341" i="71" s="1"/>
  <c r="V341" i="71" a="1"/>
  <c r="V341" i="71" s="1"/>
  <c r="M341" i="71" a="1"/>
  <c r="M341" i="71" s="1"/>
  <c r="N341" i="71" a="1"/>
  <c r="N341" i="71" s="1"/>
  <c r="T341" i="71" a="1"/>
  <c r="T341" i="71" s="1"/>
  <c r="D341" i="71" a="1"/>
  <c r="D341" i="71" s="1"/>
  <c r="O341" i="71" a="1"/>
  <c r="O341" i="71" s="1"/>
  <c r="E341" i="71" a="1"/>
  <c r="E341" i="71" s="1"/>
  <c r="F341" i="71" a="1"/>
  <c r="F341" i="71" s="1"/>
  <c r="P341" i="71" a="1"/>
  <c r="P341" i="71" s="1"/>
  <c r="G341" i="71" a="1"/>
  <c r="G341" i="71" s="1"/>
  <c r="Q341" i="71" a="1"/>
  <c r="Q341" i="71" s="1"/>
  <c r="H341" i="71" a="1"/>
  <c r="H341" i="71" s="1"/>
  <c r="R341" i="71" a="1"/>
  <c r="R341" i="71" s="1"/>
  <c r="I341" i="71" a="1"/>
  <c r="I341" i="71" s="1"/>
  <c r="S341" i="71" a="1"/>
  <c r="S341" i="71" s="1"/>
  <c r="G21" i="92"/>
  <c r="D334" i="71" a="1"/>
  <c r="D334" i="71" s="1"/>
  <c r="E334" i="71" a="1"/>
  <c r="E334" i="71" s="1"/>
  <c r="O334" i="71" a="1"/>
  <c r="O334" i="71" s="1"/>
  <c r="F334" i="71" a="1"/>
  <c r="F334" i="71" s="1"/>
  <c r="P334" i="71" a="1"/>
  <c r="P334" i="71" s="1"/>
  <c r="G334" i="71" a="1"/>
  <c r="G334" i="71" s="1"/>
  <c r="Q334" i="71" a="1"/>
  <c r="Q334" i="71" s="1"/>
  <c r="H334" i="71" a="1"/>
  <c r="H334" i="71" s="1"/>
  <c r="R334" i="71" a="1"/>
  <c r="R334" i="71" s="1"/>
  <c r="S334" i="71" a="1"/>
  <c r="S334" i="71" s="1"/>
  <c r="I334" i="71" a="1"/>
  <c r="I334" i="71" s="1"/>
  <c r="T334" i="71" a="1"/>
  <c r="T334" i="71" s="1"/>
  <c r="J334" i="71" a="1"/>
  <c r="J334" i="71" s="1"/>
  <c r="K334" i="71" a="1"/>
  <c r="K334" i="71" s="1"/>
  <c r="U334" i="71" a="1"/>
  <c r="U334" i="71" s="1"/>
  <c r="C334" i="71" a="1"/>
  <c r="C334" i="71" s="1"/>
  <c r="L334" i="71" a="1"/>
  <c r="L334" i="71" s="1"/>
  <c r="V334" i="71" a="1"/>
  <c r="V334" i="71" s="1"/>
  <c r="N334" i="71" a="1"/>
  <c r="N334" i="71" s="1"/>
  <c r="M334" i="71" a="1"/>
  <c r="M334" i="71" s="1"/>
  <c r="N21" i="92"/>
  <c r="K350" i="71" a="1"/>
  <c r="K350" i="71" s="1"/>
  <c r="M350" i="71" a="1"/>
  <c r="M350" i="71" s="1"/>
  <c r="N350" i="71" a="1"/>
  <c r="N350" i="71" s="1"/>
  <c r="O350" i="71" a="1"/>
  <c r="O350" i="71" s="1"/>
  <c r="D350" i="71" a="1"/>
  <c r="D350" i="71" s="1"/>
  <c r="P350" i="71" a="1"/>
  <c r="P350" i="71" s="1"/>
  <c r="E350" i="71" a="1"/>
  <c r="E350" i="71" s="1"/>
  <c r="Q350" i="71" a="1"/>
  <c r="Q350" i="71" s="1"/>
  <c r="F350" i="71" a="1"/>
  <c r="F350" i="71" s="1"/>
  <c r="R350" i="71" a="1"/>
  <c r="R350" i="71" s="1"/>
  <c r="G350" i="71" a="1"/>
  <c r="G350" i="71" s="1"/>
  <c r="S350" i="71" a="1"/>
  <c r="S350" i="71" s="1"/>
  <c r="C350" i="71" a="1"/>
  <c r="C350" i="71" s="1"/>
  <c r="H350" i="71" a="1"/>
  <c r="H350" i="71" s="1"/>
  <c r="T350" i="71" a="1"/>
  <c r="T350" i="71" s="1"/>
  <c r="I350" i="71" a="1"/>
  <c r="I350" i="71" s="1"/>
  <c r="U350" i="71" a="1"/>
  <c r="U350" i="71" s="1"/>
  <c r="J350" i="71" a="1"/>
  <c r="J350" i="71" s="1"/>
  <c r="V350" i="71" a="1"/>
  <c r="V350" i="71" s="1"/>
  <c r="L350" i="71" a="1"/>
  <c r="L350" i="71" s="1"/>
  <c r="Q359" i="71" a="1"/>
  <c r="Q359" i="71" s="1"/>
  <c r="G359" i="71" a="1"/>
  <c r="G359" i="71" s="1"/>
  <c r="R359" i="71" a="1"/>
  <c r="R359" i="71" s="1"/>
  <c r="H359" i="71" a="1"/>
  <c r="H359" i="71" s="1"/>
  <c r="S359" i="71" a="1"/>
  <c r="S359" i="71" s="1"/>
  <c r="I359" i="71" a="1"/>
  <c r="I359" i="71" s="1"/>
  <c r="T359" i="71" a="1"/>
  <c r="T359" i="71" s="1"/>
  <c r="J359" i="71" a="1"/>
  <c r="J359" i="71" s="1"/>
  <c r="U359" i="71" a="1"/>
  <c r="U359" i="71" s="1"/>
  <c r="K359" i="71" a="1"/>
  <c r="K359" i="71" s="1"/>
  <c r="V359" i="71" a="1"/>
  <c r="V359" i="71" s="1"/>
  <c r="L359" i="71" a="1"/>
  <c r="L359" i="71" s="1"/>
  <c r="C359" i="71" a="1"/>
  <c r="C359" i="71" s="1"/>
  <c r="M359" i="71" a="1"/>
  <c r="M359" i="71" s="1"/>
  <c r="D359" i="71" a="1"/>
  <c r="D359" i="71" s="1"/>
  <c r="N359" i="71" a="1"/>
  <c r="N359" i="71" s="1"/>
  <c r="E359" i="71" a="1"/>
  <c r="E359" i="71" s="1"/>
  <c r="O359" i="71" a="1"/>
  <c r="O359" i="71" s="1"/>
  <c r="F359" i="71" a="1"/>
  <c r="F359" i="71" s="1"/>
  <c r="P359" i="71" a="1"/>
  <c r="P359" i="71" s="1"/>
  <c r="D351" i="71" a="1"/>
  <c r="D351" i="71" s="1"/>
  <c r="P351" i="71" a="1"/>
  <c r="P351" i="71" s="1"/>
  <c r="E351" i="71" a="1"/>
  <c r="E351" i="71" s="1"/>
  <c r="Q351" i="71" a="1"/>
  <c r="Q351" i="71" s="1"/>
  <c r="F351" i="71" a="1"/>
  <c r="F351" i="71" s="1"/>
  <c r="R351" i="71" a="1"/>
  <c r="R351" i="71" s="1"/>
  <c r="G351" i="71" a="1"/>
  <c r="G351" i="71" s="1"/>
  <c r="S351" i="71" a="1"/>
  <c r="S351" i="71" s="1"/>
  <c r="H351" i="71" a="1"/>
  <c r="H351" i="71" s="1"/>
  <c r="T351" i="71" a="1"/>
  <c r="T351" i="71" s="1"/>
  <c r="I351" i="71" a="1"/>
  <c r="I351" i="71" s="1"/>
  <c r="U351" i="71" a="1"/>
  <c r="U351" i="71" s="1"/>
  <c r="J351" i="71" a="1"/>
  <c r="J351" i="71" s="1"/>
  <c r="V351" i="71" a="1"/>
  <c r="V351" i="71" s="1"/>
  <c r="C351" i="71" a="1"/>
  <c r="C351" i="71" s="1"/>
  <c r="K351" i="71" a="1"/>
  <c r="K351" i="71" s="1"/>
  <c r="L351" i="71" a="1"/>
  <c r="L351" i="71" s="1"/>
  <c r="M351" i="71" a="1"/>
  <c r="M351" i="71" s="1"/>
  <c r="N351" i="71" a="1"/>
  <c r="N351" i="71" s="1"/>
  <c r="O351" i="71" a="1"/>
  <c r="O351" i="71" s="1"/>
  <c r="F349" i="71" a="1"/>
  <c r="F349" i="71" s="1"/>
  <c r="R349" i="71" a="1"/>
  <c r="R349" i="71" s="1"/>
  <c r="G349" i="71" a="1"/>
  <c r="G349" i="71" s="1"/>
  <c r="H349" i="71" a="1"/>
  <c r="H349" i="71" s="1"/>
  <c r="T349" i="71" a="1"/>
  <c r="T349" i="71" s="1"/>
  <c r="I349" i="71" a="1"/>
  <c r="I349" i="71" s="1"/>
  <c r="U349" i="71" a="1"/>
  <c r="U349" i="71" s="1"/>
  <c r="J349" i="71" a="1"/>
  <c r="J349" i="71" s="1"/>
  <c r="V349" i="71" a="1"/>
  <c r="V349" i="71" s="1"/>
  <c r="K349" i="71" a="1"/>
  <c r="K349" i="71" s="1"/>
  <c r="L349" i="71" a="1"/>
  <c r="L349" i="71" s="1"/>
  <c r="M349" i="71" a="1"/>
  <c r="M349" i="71" s="1"/>
  <c r="N349" i="71" a="1"/>
  <c r="N349" i="71" s="1"/>
  <c r="O349" i="71" a="1"/>
  <c r="O349" i="71" s="1"/>
  <c r="C349" i="71" a="1"/>
  <c r="C349" i="71" s="1"/>
  <c r="D349" i="71" a="1"/>
  <c r="D349" i="71" s="1"/>
  <c r="P349" i="71" a="1"/>
  <c r="P349" i="71" s="1"/>
  <c r="S349" i="71" a="1"/>
  <c r="S349" i="71" s="1"/>
  <c r="E349" i="71" a="1"/>
  <c r="E349" i="71" s="1"/>
  <c r="Q349" i="71" a="1"/>
  <c r="Q349" i="71" s="1"/>
  <c r="C354" i="71"/>
  <c r="C355" i="71" s="1"/>
  <c r="C356" i="71" s="1"/>
  <c r="R354" i="71"/>
  <c r="R355" i="71" s="1"/>
  <c r="R356" i="71" s="1"/>
  <c r="M354" i="71"/>
  <c r="M355" i="71" s="1"/>
  <c r="M356" i="71" s="1"/>
  <c r="G354" i="71"/>
  <c r="G355" i="71" s="1"/>
  <c r="G356" i="71" s="1"/>
  <c r="N354" i="71"/>
  <c r="N355" i="71" s="1"/>
  <c r="N356" i="71" s="1"/>
  <c r="S354" i="71"/>
  <c r="S355" i="71" s="1"/>
  <c r="S356" i="71" s="1"/>
  <c r="H354" i="71"/>
  <c r="H355" i="71" s="1"/>
  <c r="H356" i="71" s="1"/>
  <c r="T354" i="71"/>
  <c r="T355" i="71" s="1"/>
  <c r="T356" i="71" s="1"/>
  <c r="I354" i="71"/>
  <c r="I355" i="71" s="1"/>
  <c r="I356" i="71" s="1"/>
  <c r="U354" i="71"/>
  <c r="U355" i="71" s="1"/>
  <c r="U356" i="71" s="1"/>
  <c r="D354" i="71"/>
  <c r="D355" i="71" s="1"/>
  <c r="D356" i="71" s="1"/>
  <c r="J354" i="71"/>
  <c r="J355" i="71" s="1"/>
  <c r="J356" i="71" s="1"/>
  <c r="P354" i="71"/>
  <c r="P355" i="71" s="1"/>
  <c r="P356" i="71" s="1"/>
  <c r="V354" i="71"/>
  <c r="V355" i="71" s="1"/>
  <c r="V356" i="71" s="1"/>
  <c r="E354" i="71"/>
  <c r="E355" i="71" s="1"/>
  <c r="E356" i="71" s="1"/>
  <c r="O354" i="71"/>
  <c r="O355" i="71" s="1"/>
  <c r="O356" i="71" s="1"/>
  <c r="Q354" i="71"/>
  <c r="Q355" i="71" s="1"/>
  <c r="Q356" i="71" s="1"/>
  <c r="K354" i="71"/>
  <c r="K355" i="71" s="1"/>
  <c r="K356" i="71" s="1"/>
  <c r="F354" i="71"/>
  <c r="F355" i="71" s="1"/>
  <c r="F356" i="71" s="1"/>
  <c r="L354" i="71"/>
  <c r="L355" i="71" s="1"/>
  <c r="L356" i="71" s="1"/>
  <c r="C346" i="71"/>
  <c r="C347" i="71" s="1"/>
  <c r="C348" i="71" s="1"/>
  <c r="H346" i="71"/>
  <c r="H347" i="71" s="1"/>
  <c r="H348" i="71" s="1"/>
  <c r="T346" i="71"/>
  <c r="T347" i="71" s="1"/>
  <c r="T348" i="71" s="1"/>
  <c r="I346" i="71"/>
  <c r="I347" i="71" s="1"/>
  <c r="I348" i="71" s="1"/>
  <c r="U346" i="71"/>
  <c r="U347" i="71" s="1"/>
  <c r="U348" i="71" s="1"/>
  <c r="D346" i="71"/>
  <c r="D347" i="71" s="1"/>
  <c r="D348" i="71" s="1"/>
  <c r="J346" i="71"/>
  <c r="J347" i="71" s="1"/>
  <c r="J348" i="71" s="1"/>
  <c r="P346" i="71"/>
  <c r="P347" i="71" s="1"/>
  <c r="P348" i="71" s="1"/>
  <c r="V346" i="71"/>
  <c r="V347" i="71" s="1"/>
  <c r="V348" i="71" s="1"/>
  <c r="E346" i="71"/>
  <c r="E347" i="71" s="1"/>
  <c r="E348" i="71" s="1"/>
  <c r="K346" i="71"/>
  <c r="K347" i="71" s="1"/>
  <c r="K348" i="71" s="1"/>
  <c r="S346" i="71"/>
  <c r="S347" i="71" s="1"/>
  <c r="S348" i="71" s="1"/>
  <c r="Q346" i="71"/>
  <c r="Q347" i="71" s="1"/>
  <c r="Q348" i="71" s="1"/>
  <c r="L346" i="71"/>
  <c r="L347" i="71" s="1"/>
  <c r="L348" i="71" s="1"/>
  <c r="F346" i="71"/>
  <c r="F347" i="71" s="1"/>
  <c r="F348" i="71" s="1"/>
  <c r="M346" i="71"/>
  <c r="M347" i="71" s="1"/>
  <c r="M348" i="71" s="1"/>
  <c r="R346" i="71"/>
  <c r="R347" i="71" s="1"/>
  <c r="R348" i="71" s="1"/>
  <c r="N346" i="71"/>
  <c r="N347" i="71" s="1"/>
  <c r="N348" i="71" s="1"/>
  <c r="G346" i="71"/>
  <c r="G347" i="71" s="1"/>
  <c r="G348" i="71" s="1"/>
  <c r="O346" i="71"/>
  <c r="O347" i="71" s="1"/>
  <c r="O348" i="71" s="1"/>
  <c r="H357" i="71" a="1"/>
  <c r="H357" i="71" s="1"/>
  <c r="P357" i="71" a="1"/>
  <c r="P357" i="71" s="1"/>
  <c r="Q357" i="71" a="1"/>
  <c r="Q357" i="71" s="1"/>
  <c r="I357" i="71" a="1"/>
  <c r="I357" i="71" s="1"/>
  <c r="R357" i="71" a="1"/>
  <c r="R357" i="71" s="1"/>
  <c r="S357" i="71" a="1"/>
  <c r="S357" i="71" s="1"/>
  <c r="J357" i="71" a="1"/>
  <c r="J357" i="71" s="1"/>
  <c r="T357" i="71" a="1"/>
  <c r="T357" i="71" s="1"/>
  <c r="K357" i="71" a="1"/>
  <c r="K357" i="71" s="1"/>
  <c r="L357" i="71" a="1"/>
  <c r="L357" i="71" s="1"/>
  <c r="U357" i="71" a="1"/>
  <c r="U357" i="71" s="1"/>
  <c r="M357" i="71" a="1"/>
  <c r="M357" i="71" s="1"/>
  <c r="D357" i="71" a="1"/>
  <c r="D357" i="71" s="1"/>
  <c r="N357" i="71" a="1"/>
  <c r="N357" i="71" s="1"/>
  <c r="V357" i="71" a="1"/>
  <c r="V357" i="71" s="1"/>
  <c r="C357" i="71" a="1"/>
  <c r="C357" i="71" s="1"/>
  <c r="E357" i="71" a="1"/>
  <c r="E357" i="71" s="1"/>
  <c r="F357" i="71" a="1"/>
  <c r="F357" i="71" s="1"/>
  <c r="O357" i="71" a="1"/>
  <c r="O357" i="71" s="1"/>
  <c r="G357" i="71" a="1"/>
  <c r="G357" i="71" s="1"/>
  <c r="G358" i="71" a="1"/>
  <c r="G358" i="71" s="1"/>
  <c r="O358" i="71" a="1"/>
  <c r="O358" i="71" s="1"/>
  <c r="P358" i="71" a="1"/>
  <c r="P358" i="71" s="1"/>
  <c r="H358" i="71" a="1"/>
  <c r="H358" i="71" s="1"/>
  <c r="Q358" i="71" a="1"/>
  <c r="Q358" i="71" s="1"/>
  <c r="R358" i="71" a="1"/>
  <c r="R358" i="71" s="1"/>
  <c r="I358" i="71" a="1"/>
  <c r="I358" i="71" s="1"/>
  <c r="S358" i="71" a="1"/>
  <c r="S358" i="71" s="1"/>
  <c r="J358" i="71" a="1"/>
  <c r="J358" i="71" s="1"/>
  <c r="K358" i="71" a="1"/>
  <c r="K358" i="71" s="1"/>
  <c r="T358" i="71" a="1"/>
  <c r="T358" i="71" s="1"/>
  <c r="L358" i="71" a="1"/>
  <c r="L358" i="71" s="1"/>
  <c r="U358" i="71" a="1"/>
  <c r="U358" i="71" s="1"/>
  <c r="C358" i="71" a="1"/>
  <c r="C358" i="71" s="1"/>
  <c r="M358" i="71" a="1"/>
  <c r="M358" i="71" s="1"/>
  <c r="V358" i="71" a="1"/>
  <c r="V358" i="71" s="1"/>
  <c r="D358" i="71" a="1"/>
  <c r="D358" i="71" s="1"/>
  <c r="E358" i="71" a="1"/>
  <c r="E358" i="71" s="1"/>
  <c r="N358" i="71" a="1"/>
  <c r="N358" i="71" s="1"/>
  <c r="F358" i="71" a="1"/>
  <c r="F358" i="71" s="1"/>
  <c r="AN12" i="11"/>
  <c r="AR12" i="11" s="1"/>
  <c r="K322" i="71"/>
  <c r="E322" i="71"/>
  <c r="AP11" i="11"/>
  <c r="H322" i="71"/>
  <c r="J322" i="71"/>
  <c r="G322" i="71"/>
  <c r="O322" i="71"/>
  <c r="M322" i="71"/>
  <c r="I322" i="71"/>
  <c r="L322" i="71"/>
  <c r="F322" i="71"/>
  <c r="D322" i="71"/>
  <c r="S322" i="71"/>
  <c r="N322" i="71"/>
  <c r="AY12" i="11"/>
  <c r="V322" i="71"/>
  <c r="Q322" i="71"/>
  <c r="P322" i="71"/>
  <c r="T322" i="71"/>
  <c r="R322" i="71"/>
  <c r="U322" i="71"/>
  <c r="BM13" i="11"/>
  <c r="BM14" i="11"/>
  <c r="BM11" i="11"/>
  <c r="AD18" i="11"/>
  <c r="AD22" i="11"/>
  <c r="X13" i="11"/>
  <c r="P399" i="71"/>
  <c r="N399" i="71"/>
  <c r="S399" i="71"/>
  <c r="O399" i="71"/>
  <c r="R399" i="71"/>
  <c r="I399" i="71"/>
  <c r="U399" i="71"/>
  <c r="V399" i="71"/>
  <c r="J399" i="71"/>
  <c r="K399" i="71"/>
  <c r="T399" i="71"/>
  <c r="L399" i="71"/>
  <c r="M399" i="71"/>
  <c r="Q399" i="71"/>
  <c r="X15" i="11"/>
  <c r="AT13" i="11" s="1"/>
  <c r="AC15" i="11"/>
  <c r="AC12" i="11"/>
  <c r="X17" i="11"/>
  <c r="AT11" i="11" s="1"/>
  <c r="W15" i="11"/>
  <c r="AP13" i="11" s="1"/>
  <c r="X12" i="11"/>
  <c r="BM12" i="11"/>
  <c r="AC13" i="11"/>
  <c r="AY13" i="11"/>
  <c r="AD13" i="11"/>
  <c r="AY11" i="11"/>
  <c r="AY14" i="11"/>
  <c r="B376" i="56"/>
  <c r="W9" i="92" s="1"/>
  <c r="B364" i="71"/>
  <c r="B365" i="71"/>
  <c r="B367" i="71"/>
  <c r="B362" i="71"/>
  <c r="C362" i="71" s="1"/>
  <c r="B366" i="71"/>
  <c r="B363" i="71"/>
  <c r="BB11" i="11"/>
  <c r="BB14" i="11"/>
  <c r="C339" i="71"/>
  <c r="C340" i="71" s="1"/>
  <c r="C323" i="71"/>
  <c r="E331" i="71"/>
  <c r="E332" i="71" s="1"/>
  <c r="K331" i="71"/>
  <c r="K332" i="71" s="1"/>
  <c r="L331" i="71"/>
  <c r="L332" i="71" s="1"/>
  <c r="M331" i="71"/>
  <c r="M332" i="71" s="1"/>
  <c r="T331" i="71"/>
  <c r="T332" i="71" s="1"/>
  <c r="N331" i="71"/>
  <c r="N332" i="71" s="1"/>
  <c r="L142" i="71"/>
  <c r="L144" i="71" s="1"/>
  <c r="L185" i="71"/>
  <c r="L187" i="71" s="1"/>
  <c r="L99" i="71"/>
  <c r="L101" i="71" s="1"/>
  <c r="M111" i="71"/>
  <c r="M154" i="71"/>
  <c r="M239" i="71"/>
  <c r="M197" i="71"/>
  <c r="M68" i="71"/>
  <c r="N24" i="71"/>
  <c r="O438" i="56"/>
  <c r="M427" i="56"/>
  <c r="M429" i="56" s="1"/>
  <c r="M432" i="56" s="1"/>
  <c r="L227" i="71"/>
  <c r="L229" i="71" s="1"/>
  <c r="N192" i="71"/>
  <c r="N149" i="71"/>
  <c r="N63" i="71"/>
  <c r="N106" i="71"/>
  <c r="N234" i="71"/>
  <c r="N112" i="71"/>
  <c r="N198" i="71"/>
  <c r="N69" i="71"/>
  <c r="N155" i="71"/>
  <c r="N240" i="71"/>
  <c r="L432" i="56"/>
  <c r="O26" i="71"/>
  <c r="P440" i="56"/>
  <c r="J444" i="56"/>
  <c r="J445" i="56" s="1"/>
  <c r="J446" i="56"/>
  <c r="J448" i="56"/>
  <c r="N196" i="71"/>
  <c r="N238" i="71"/>
  <c r="N153" i="71"/>
  <c r="N67" i="71"/>
  <c r="N110" i="71"/>
  <c r="P437" i="56"/>
  <c r="O23" i="71"/>
  <c r="P439" i="56"/>
  <c r="O25" i="71"/>
  <c r="O20" i="71"/>
  <c r="P433" i="56"/>
  <c r="O21" i="71"/>
  <c r="P434" i="56"/>
  <c r="I450" i="56"/>
  <c r="I451" i="56" s="1"/>
  <c r="I452" i="56"/>
  <c r="J147" i="71"/>
  <c r="J190" i="71"/>
  <c r="J232" i="71"/>
  <c r="J61" i="71"/>
  <c r="J104" i="71"/>
  <c r="M141" i="71"/>
  <c r="M184" i="71"/>
  <c r="M55" i="71"/>
  <c r="M226" i="71"/>
  <c r="M98" i="71"/>
  <c r="K444" i="56"/>
  <c r="K445" i="56" s="1"/>
  <c r="K446" i="56"/>
  <c r="K448" i="56"/>
  <c r="M54" i="71"/>
  <c r="M225" i="71"/>
  <c r="M14" i="71"/>
  <c r="M16" i="71" s="1"/>
  <c r="M183" i="71"/>
  <c r="M140" i="71"/>
  <c r="M97" i="71"/>
  <c r="K61" i="71"/>
  <c r="K232" i="71"/>
  <c r="K147" i="71"/>
  <c r="K104" i="71"/>
  <c r="K190" i="71"/>
  <c r="Q428" i="56"/>
  <c r="P15" i="71"/>
  <c r="N62" i="71"/>
  <c r="N148" i="71"/>
  <c r="N191" i="71"/>
  <c r="N105" i="71"/>
  <c r="N233" i="71"/>
  <c r="N199" i="71"/>
  <c r="N113" i="71"/>
  <c r="N241" i="71"/>
  <c r="N156" i="71"/>
  <c r="N70" i="71"/>
  <c r="N12" i="71"/>
  <c r="O425" i="56"/>
  <c r="N426" i="56"/>
  <c r="N13" i="71" s="1"/>
  <c r="O100" i="71"/>
  <c r="O228" i="71"/>
  <c r="O57" i="71"/>
  <c r="O186" i="71"/>
  <c r="O143" i="71"/>
  <c r="B378" i="56"/>
  <c r="E355" i="56"/>
  <c r="B372" i="56" s="1"/>
  <c r="K173" i="71"/>
  <c r="K275" i="71" s="1"/>
  <c r="H301" i="71" s="1"/>
  <c r="K290" i="71"/>
  <c r="I251" i="71"/>
  <c r="I258" i="71" s="1"/>
  <c r="I279" i="71" s="1"/>
  <c r="J246" i="71"/>
  <c r="I216" i="71"/>
  <c r="I277" i="71" s="1"/>
  <c r="I292" i="71"/>
  <c r="L166" i="71"/>
  <c r="M161" i="71"/>
  <c r="K204" i="71"/>
  <c r="J209" i="71"/>
  <c r="AD11" i="11"/>
  <c r="Q474" i="71"/>
  <c r="P478" i="71"/>
  <c r="P475" i="71"/>
  <c r="O485" i="71"/>
  <c r="R426" i="71"/>
  <c r="Q406" i="71"/>
  <c r="P410" i="71"/>
  <c r="P195" i="71" s="1"/>
  <c r="P409" i="71"/>
  <c r="P152" i="71" s="1"/>
  <c r="P411" i="71"/>
  <c r="P237" i="71" s="1"/>
  <c r="P413" i="71"/>
  <c r="P421" i="71" s="1"/>
  <c r="C384" i="71" l="1"/>
  <c r="Q323" i="71"/>
  <c r="Q324" i="71" s="1"/>
  <c r="J323" i="71"/>
  <c r="J324" i="71" s="1"/>
  <c r="V323" i="71"/>
  <c r="N17" i="92" s="1"/>
  <c r="H323" i="71"/>
  <c r="H324" i="71" s="1"/>
  <c r="N323" i="71"/>
  <c r="N324" i="71" s="1"/>
  <c r="E323" i="71"/>
  <c r="E324" i="71" s="1"/>
  <c r="S323" i="71"/>
  <c r="S324" i="71" s="1"/>
  <c r="K323" i="71"/>
  <c r="K324" i="71" s="1"/>
  <c r="O323" i="71"/>
  <c r="O324" i="71" s="1"/>
  <c r="P323" i="71"/>
  <c r="P324" i="71" s="1"/>
  <c r="D323" i="71"/>
  <c r="D324" i="71" s="1"/>
  <c r="G323" i="71"/>
  <c r="F323" i="71"/>
  <c r="F324" i="71" s="1"/>
  <c r="T323" i="71"/>
  <c r="T324" i="71" s="1"/>
  <c r="L323" i="71"/>
  <c r="L324" i="71" s="1"/>
  <c r="U323" i="71"/>
  <c r="U324" i="71" s="1"/>
  <c r="I323" i="71"/>
  <c r="I324" i="71" s="1"/>
  <c r="R323" i="71"/>
  <c r="M323" i="71"/>
  <c r="M324" i="71" s="1"/>
  <c r="D362" i="71"/>
  <c r="D363" i="71" s="1"/>
  <c r="D364" i="71" s="1"/>
  <c r="U362" i="71"/>
  <c r="U363" i="71" s="1"/>
  <c r="U364" i="71" s="1"/>
  <c r="E362" i="71"/>
  <c r="E363" i="71" s="1"/>
  <c r="E364" i="71" s="1"/>
  <c r="O362" i="71"/>
  <c r="O363" i="71" s="1"/>
  <c r="O364" i="71" s="1"/>
  <c r="Q362" i="71"/>
  <c r="Q363" i="71" s="1"/>
  <c r="Q364" i="71" s="1"/>
  <c r="J362" i="71"/>
  <c r="J363" i="71" s="1"/>
  <c r="J364" i="71" s="1"/>
  <c r="F362" i="71"/>
  <c r="F363" i="71" s="1"/>
  <c r="F364" i="71" s="1"/>
  <c r="V362" i="71"/>
  <c r="V363" i="71" s="1"/>
  <c r="V364" i="71" s="1"/>
  <c r="R362" i="71"/>
  <c r="R363" i="71" s="1"/>
  <c r="R364" i="71" s="1"/>
  <c r="K362" i="71"/>
  <c r="K363" i="71" s="1"/>
  <c r="K364" i="71" s="1"/>
  <c r="N362" i="71"/>
  <c r="N363" i="71" s="1"/>
  <c r="N364" i="71" s="1"/>
  <c r="L362" i="71"/>
  <c r="L363" i="71" s="1"/>
  <c r="L364" i="71" s="1"/>
  <c r="G362" i="71"/>
  <c r="G363" i="71" s="1"/>
  <c r="G364" i="71" s="1"/>
  <c r="M362" i="71"/>
  <c r="M363" i="71" s="1"/>
  <c r="M364" i="71" s="1"/>
  <c r="S362" i="71"/>
  <c r="S363" i="71" s="1"/>
  <c r="S364" i="71" s="1"/>
  <c r="P362" i="71"/>
  <c r="P363" i="71" s="1"/>
  <c r="P364" i="71" s="1"/>
  <c r="H362" i="71"/>
  <c r="H363" i="71" s="1"/>
  <c r="H364" i="71" s="1"/>
  <c r="T362" i="71"/>
  <c r="T363" i="71" s="1"/>
  <c r="T364" i="71" s="1"/>
  <c r="I362" i="71"/>
  <c r="I363" i="71" s="1"/>
  <c r="I364" i="71" s="1"/>
  <c r="BE63" i="17"/>
  <c r="BE41" i="17"/>
  <c r="BE51" i="17"/>
  <c r="BE45" i="17"/>
  <c r="BE46" i="17"/>
  <c r="BE42" i="17"/>
  <c r="BE52" i="17"/>
  <c r="BE39" i="17"/>
  <c r="BE33" i="17"/>
  <c r="BE31" i="17"/>
  <c r="BE49" i="17"/>
  <c r="BE50" i="17"/>
  <c r="BE53" i="17"/>
  <c r="BE60" i="17"/>
  <c r="BE66" i="17"/>
  <c r="BE38" i="17"/>
  <c r="BE57" i="17"/>
  <c r="BE48" i="17"/>
  <c r="BE32" i="17"/>
  <c r="BE58" i="17"/>
  <c r="BE59" i="17"/>
  <c r="BE56" i="17"/>
  <c r="BE61" i="17"/>
  <c r="BE36" i="17"/>
  <c r="BE30" i="17"/>
  <c r="BE67" i="17"/>
  <c r="BE28" i="17"/>
  <c r="BE65" i="17"/>
  <c r="BE62" i="17"/>
  <c r="BE54" i="17"/>
  <c r="BE37" i="17"/>
  <c r="BE29" i="17"/>
  <c r="BE34" i="17"/>
  <c r="BE64" i="17"/>
  <c r="BE40" i="17"/>
  <c r="BE35" i="17"/>
  <c r="BE44" i="17"/>
  <c r="BE47" i="17"/>
  <c r="BE43" i="17"/>
  <c r="BE55" i="17"/>
  <c r="G366" i="71" a="1"/>
  <c r="G366" i="71" s="1"/>
  <c r="G388" i="71" s="1"/>
  <c r="Q366" i="71" a="1"/>
  <c r="Q366" i="71" s="1"/>
  <c r="Q375" i="71" s="1"/>
  <c r="H366" i="71" a="1"/>
  <c r="H366" i="71" s="1"/>
  <c r="H375" i="71" s="1"/>
  <c r="R366" i="71" a="1"/>
  <c r="R366" i="71" s="1"/>
  <c r="R388" i="71" s="1"/>
  <c r="S366" i="71" a="1"/>
  <c r="S366" i="71" s="1"/>
  <c r="S375" i="71" s="1"/>
  <c r="I366" i="71" a="1"/>
  <c r="I366" i="71" s="1"/>
  <c r="I388" i="71" s="1"/>
  <c r="T366" i="71" a="1"/>
  <c r="T366" i="71" s="1"/>
  <c r="T388" i="71" s="1"/>
  <c r="J366" i="71" a="1"/>
  <c r="J366" i="71" s="1"/>
  <c r="J375" i="71" s="1"/>
  <c r="K366" i="71" a="1"/>
  <c r="K366" i="71" s="1"/>
  <c r="K375" i="71" s="1"/>
  <c r="U366" i="71" a="1"/>
  <c r="U366" i="71" s="1"/>
  <c r="U375" i="71" s="1"/>
  <c r="C366" i="71" a="1"/>
  <c r="C366" i="71" s="1"/>
  <c r="C375" i="71" s="1"/>
  <c r="L366" i="71" a="1"/>
  <c r="L366" i="71" s="1"/>
  <c r="L375" i="71" s="1"/>
  <c r="V366" i="71" a="1"/>
  <c r="V366" i="71" s="1"/>
  <c r="V388" i="71" s="1"/>
  <c r="M366" i="71" a="1"/>
  <c r="M366" i="71" s="1"/>
  <c r="M388" i="71" s="1"/>
  <c r="N366" i="71" a="1"/>
  <c r="N366" i="71" s="1"/>
  <c r="N388" i="71" s="1"/>
  <c r="D366" i="71" a="1"/>
  <c r="D366" i="71" s="1"/>
  <c r="D388" i="71" s="1"/>
  <c r="E366" i="71" a="1"/>
  <c r="E366" i="71" s="1"/>
  <c r="E388" i="71" s="1"/>
  <c r="O366" i="71" a="1"/>
  <c r="O366" i="71" s="1"/>
  <c r="O388" i="71" s="1"/>
  <c r="F366" i="71" a="1"/>
  <c r="F366" i="71" s="1"/>
  <c r="F388" i="71" s="1"/>
  <c r="P366" i="71" a="1"/>
  <c r="P366" i="71" s="1"/>
  <c r="P388" i="71" s="1"/>
  <c r="B22" i="71"/>
  <c r="B35" i="71" s="1"/>
  <c r="H367" i="71" a="1"/>
  <c r="H367" i="71" s="1"/>
  <c r="H376" i="71" s="1"/>
  <c r="S367" i="71" a="1"/>
  <c r="S367" i="71" s="1"/>
  <c r="S456" i="71" s="1"/>
  <c r="I367" i="71" a="1"/>
  <c r="I367" i="71" s="1"/>
  <c r="I376" i="71" s="1"/>
  <c r="T367" i="71" a="1"/>
  <c r="T367" i="71" s="1"/>
  <c r="T376" i="71" s="1"/>
  <c r="J367" i="71" a="1"/>
  <c r="J367" i="71" s="1"/>
  <c r="J389" i="71" s="1"/>
  <c r="U367" i="71" a="1"/>
  <c r="U367" i="71" s="1"/>
  <c r="U389" i="71" s="1"/>
  <c r="K367" i="71" a="1"/>
  <c r="K367" i="71" s="1"/>
  <c r="K376" i="71" s="1"/>
  <c r="V367" i="71" a="1"/>
  <c r="V367" i="71" s="1"/>
  <c r="V376" i="71" s="1"/>
  <c r="L367" i="71" a="1"/>
  <c r="L367" i="71" s="1"/>
  <c r="L376" i="71" s="1"/>
  <c r="C367" i="71" a="1"/>
  <c r="C367" i="71" s="1"/>
  <c r="C376" i="71" s="1"/>
  <c r="M367" i="71" a="1"/>
  <c r="M367" i="71" s="1"/>
  <c r="M389" i="71" s="1"/>
  <c r="D367" i="71" a="1"/>
  <c r="D367" i="71" s="1"/>
  <c r="D376" i="71" s="1"/>
  <c r="N367" i="71" a="1"/>
  <c r="N367" i="71" s="1"/>
  <c r="N389" i="71" s="1"/>
  <c r="E367" i="71" a="1"/>
  <c r="E367" i="71" s="1"/>
  <c r="D235" i="71" s="1"/>
  <c r="D250" i="71" s="1"/>
  <c r="O367" i="71" a="1"/>
  <c r="O367" i="71" s="1"/>
  <c r="O389" i="71" s="1"/>
  <c r="F367" i="71" a="1"/>
  <c r="F367" i="71" s="1"/>
  <c r="F376" i="71" s="1"/>
  <c r="P367" i="71" a="1"/>
  <c r="P367" i="71" s="1"/>
  <c r="P376" i="71" s="1"/>
  <c r="G367" i="71" a="1"/>
  <c r="G367" i="71" s="1"/>
  <c r="G389" i="71" s="1"/>
  <c r="Q367" i="71" a="1"/>
  <c r="Q367" i="71" s="1"/>
  <c r="Q376" i="71" s="1"/>
  <c r="R367" i="71" a="1"/>
  <c r="R367" i="71" s="1"/>
  <c r="R376" i="71" s="1"/>
  <c r="E365" i="71" a="1"/>
  <c r="E365" i="71" s="1"/>
  <c r="E387" i="71" s="1"/>
  <c r="F365" i="71" a="1"/>
  <c r="F365" i="71" s="1"/>
  <c r="F374" i="71" s="1"/>
  <c r="P365" i="71" a="1"/>
  <c r="P365" i="71" s="1"/>
  <c r="P387" i="71" s="1"/>
  <c r="G365" i="71" a="1"/>
  <c r="G365" i="71" s="1"/>
  <c r="G374" i="71" s="1"/>
  <c r="Q365" i="71" a="1"/>
  <c r="Q365" i="71" s="1"/>
  <c r="Q374" i="71" s="1"/>
  <c r="H365" i="71" a="1"/>
  <c r="H365" i="71" s="1"/>
  <c r="H454" i="71" s="1"/>
  <c r="R365" i="71" a="1"/>
  <c r="R365" i="71" s="1"/>
  <c r="Q150" i="71" s="1"/>
  <c r="I365" i="71" a="1"/>
  <c r="I365" i="71" s="1"/>
  <c r="I387" i="71" s="1"/>
  <c r="S365" i="71" a="1"/>
  <c r="S365" i="71" s="1"/>
  <c r="S454" i="71" s="1"/>
  <c r="T365" i="71" a="1"/>
  <c r="T365" i="71" s="1"/>
  <c r="T387" i="71" s="1"/>
  <c r="J365" i="71" a="1"/>
  <c r="J365" i="71" s="1"/>
  <c r="J374" i="71" s="1"/>
  <c r="U365" i="71" a="1"/>
  <c r="U365" i="71" s="1"/>
  <c r="U454" i="71" s="1"/>
  <c r="C365" i="71" a="1"/>
  <c r="C365" i="71" s="1"/>
  <c r="C387" i="71" s="1"/>
  <c r="K365" i="71" a="1"/>
  <c r="K365" i="71" s="1"/>
  <c r="J150" i="71" s="1"/>
  <c r="L365" i="71" a="1"/>
  <c r="L365" i="71" s="1"/>
  <c r="L387" i="71" s="1"/>
  <c r="V365" i="71" a="1"/>
  <c r="V365" i="71" s="1"/>
  <c r="V374" i="71" s="1"/>
  <c r="M365" i="71" a="1"/>
  <c r="M365" i="71" s="1"/>
  <c r="M374" i="71" s="1"/>
  <c r="N365" i="71" a="1"/>
  <c r="N365" i="71" s="1"/>
  <c r="M150" i="71" s="1"/>
  <c r="D365" i="71" a="1"/>
  <c r="D365" i="71" s="1"/>
  <c r="C150" i="71" s="1"/>
  <c r="C165" i="71" s="1"/>
  <c r="O365" i="71" a="1"/>
  <c r="O365" i="71" s="1"/>
  <c r="O454" i="71" s="1"/>
  <c r="AV12" i="11"/>
  <c r="Z399" i="71"/>
  <c r="Y399" i="71"/>
  <c r="AA399" i="71"/>
  <c r="AB399" i="71" s="1"/>
  <c r="BV12" i="11"/>
  <c r="D21" i="67"/>
  <c r="BB13" i="11"/>
  <c r="BC13" i="11" s="1"/>
  <c r="AN13" i="11"/>
  <c r="AR13" i="11" s="1"/>
  <c r="AC11" i="11"/>
  <c r="D22" i="67" s="1"/>
  <c r="D332" i="71"/>
  <c r="E150" i="71"/>
  <c r="I193" i="71"/>
  <c r="S193" i="71"/>
  <c r="E193" i="71"/>
  <c r="C363" i="71"/>
  <c r="C364" i="71" s="1"/>
  <c r="G235" i="71"/>
  <c r="BR11" i="11" a="1"/>
  <c r="BR11" i="11" s="1"/>
  <c r="BR14" i="11" a="1"/>
  <c r="BR14" i="11" s="1"/>
  <c r="BR12" i="11" a="1"/>
  <c r="BR12" i="11" s="1"/>
  <c r="BR13" i="11" a="1"/>
  <c r="BR13" i="11" s="1"/>
  <c r="M142" i="71"/>
  <c r="M144" i="71" s="1"/>
  <c r="X11" i="11"/>
  <c r="X21" i="11"/>
  <c r="AV11" i="11" s="1"/>
  <c r="W21" i="11"/>
  <c r="AD21" i="11"/>
  <c r="AC21" i="11"/>
  <c r="BV11" i="11" s="1"/>
  <c r="AN14" i="11"/>
  <c r="AR14" i="11" s="1"/>
  <c r="BV14" i="11"/>
  <c r="D23" i="67"/>
  <c r="C331" i="71"/>
  <c r="C332" i="71" s="1"/>
  <c r="B384" i="71"/>
  <c r="B385" i="71"/>
  <c r="B386" i="71"/>
  <c r="B387" i="71"/>
  <c r="B388" i="71"/>
  <c r="B389" i="71"/>
  <c r="C324" i="71"/>
  <c r="V324" i="71"/>
  <c r="W5" i="92"/>
  <c r="B379" i="56"/>
  <c r="M227" i="71"/>
  <c r="M229" i="71" s="1"/>
  <c r="P438" i="56"/>
  <c r="O24" i="71"/>
  <c r="N239" i="71"/>
  <c r="N197" i="71"/>
  <c r="N68" i="71"/>
  <c r="N111" i="71"/>
  <c r="N154" i="71"/>
  <c r="M185" i="71"/>
  <c r="M187" i="71" s="1"/>
  <c r="P425" i="56"/>
  <c r="Q425" i="56" s="1"/>
  <c r="O12" i="71"/>
  <c r="O426" i="56"/>
  <c r="O13" i="71" s="1"/>
  <c r="J450" i="56"/>
  <c r="J451" i="56" s="1"/>
  <c r="J452" i="56"/>
  <c r="N140" i="71"/>
  <c r="N97" i="71"/>
  <c r="N54" i="71"/>
  <c r="N14" i="71"/>
  <c r="N16" i="71" s="1"/>
  <c r="N183" i="71"/>
  <c r="N225" i="71"/>
  <c r="K450" i="56"/>
  <c r="K451" i="56" s="1"/>
  <c r="K452" i="56"/>
  <c r="Q439" i="56"/>
  <c r="P25" i="71"/>
  <c r="M56" i="71"/>
  <c r="M58" i="71" s="1"/>
  <c r="Q437" i="56"/>
  <c r="P23" i="71"/>
  <c r="L19" i="71"/>
  <c r="L442" i="56"/>
  <c r="M19" i="71"/>
  <c r="M442" i="56"/>
  <c r="M99" i="71"/>
  <c r="M101" i="71" s="1"/>
  <c r="O198" i="71"/>
  <c r="O240" i="71"/>
  <c r="O69" i="71"/>
  <c r="O155" i="71"/>
  <c r="O112" i="71"/>
  <c r="O110" i="71"/>
  <c r="O67" i="71"/>
  <c r="O196" i="71"/>
  <c r="O153" i="71"/>
  <c r="O238" i="71"/>
  <c r="N98" i="71"/>
  <c r="N226" i="71"/>
  <c r="N184" i="71"/>
  <c r="N141" i="71"/>
  <c r="N55" i="71"/>
  <c r="P186" i="71"/>
  <c r="P143" i="71"/>
  <c r="P100" i="71"/>
  <c r="P57" i="71"/>
  <c r="P228" i="71"/>
  <c r="O106" i="71"/>
  <c r="O63" i="71"/>
  <c r="O192" i="71"/>
  <c r="O149" i="71"/>
  <c r="O234" i="71"/>
  <c r="R428" i="56"/>
  <c r="Q15" i="71"/>
  <c r="P20" i="71"/>
  <c r="Q433" i="56"/>
  <c r="O148" i="71"/>
  <c r="O191" i="71"/>
  <c r="O62" i="71"/>
  <c r="O233" i="71"/>
  <c r="O105" i="71"/>
  <c r="Q440" i="56"/>
  <c r="P26" i="71"/>
  <c r="O156" i="71"/>
  <c r="O199" i="71"/>
  <c r="O241" i="71"/>
  <c r="O113" i="71"/>
  <c r="O70" i="71"/>
  <c r="N427" i="56"/>
  <c r="N429" i="56" s="1"/>
  <c r="N432" i="56" s="1"/>
  <c r="Q434" i="56"/>
  <c r="P21" i="71"/>
  <c r="B373" i="56"/>
  <c r="W4" i="92"/>
  <c r="N161" i="71"/>
  <c r="M166" i="71"/>
  <c r="J216" i="71"/>
  <c r="J277" i="71" s="1"/>
  <c r="J292" i="71"/>
  <c r="L173" i="71"/>
  <c r="L275" i="71" s="1"/>
  <c r="L290" i="71"/>
  <c r="K209" i="71"/>
  <c r="L204" i="71"/>
  <c r="K246" i="71"/>
  <c r="J251" i="71"/>
  <c r="J258" i="71" s="1"/>
  <c r="J279" i="71" s="1"/>
  <c r="Q475" i="71"/>
  <c r="R474" i="71"/>
  <c r="Q478" i="71"/>
  <c r="P485" i="71"/>
  <c r="S426" i="71"/>
  <c r="Q409" i="71"/>
  <c r="Q152" i="71" s="1"/>
  <c r="R406" i="71"/>
  <c r="Q413" i="71"/>
  <c r="Q421" i="71" s="1"/>
  <c r="Q410" i="71"/>
  <c r="Q195" i="71" s="1"/>
  <c r="Q411" i="71"/>
  <c r="Q237" i="71" s="1"/>
  <c r="U150" i="71" l="1"/>
  <c r="D193" i="71"/>
  <c r="D208" i="71" s="1"/>
  <c r="D215" i="71" s="1"/>
  <c r="N456" i="71"/>
  <c r="V456" i="71"/>
  <c r="E235" i="71"/>
  <c r="C374" i="71"/>
  <c r="C389" i="71"/>
  <c r="C441" i="71" s="1"/>
  <c r="C484" i="71" s="1"/>
  <c r="C388" i="71"/>
  <c r="C395" i="71" s="1"/>
  <c r="J388" i="71"/>
  <c r="I374" i="71"/>
  <c r="L389" i="71"/>
  <c r="L396" i="71" s="1"/>
  <c r="D375" i="71"/>
  <c r="D389" i="71"/>
  <c r="D396" i="71" s="1"/>
  <c r="L388" i="71"/>
  <c r="L395" i="71" s="1"/>
  <c r="Q387" i="71"/>
  <c r="Q394" i="71" s="1"/>
  <c r="C372" i="71"/>
  <c r="E389" i="71"/>
  <c r="J387" i="71"/>
  <c r="J429" i="71" s="1"/>
  <c r="J151" i="71" s="1"/>
  <c r="K416" i="71" s="1"/>
  <c r="I375" i="71"/>
  <c r="O375" i="71"/>
  <c r="T374" i="71"/>
  <c r="Q389" i="71"/>
  <c r="Q396" i="71" s="1"/>
  <c r="R389" i="71"/>
  <c r="R396" i="71" s="1"/>
  <c r="E454" i="71"/>
  <c r="P389" i="71"/>
  <c r="P431" i="71" s="1"/>
  <c r="P236" i="71" s="1"/>
  <c r="T389" i="71"/>
  <c r="T396" i="71" s="1"/>
  <c r="C385" i="71"/>
  <c r="G376" i="71"/>
  <c r="H387" i="71"/>
  <c r="H394" i="71" s="1"/>
  <c r="P374" i="71"/>
  <c r="K389" i="71"/>
  <c r="K431" i="71" s="1"/>
  <c r="K236" i="71" s="1"/>
  <c r="G387" i="71"/>
  <c r="G394" i="71" s="1"/>
  <c r="I389" i="71"/>
  <c r="R375" i="71"/>
  <c r="E375" i="71"/>
  <c r="S374" i="71"/>
  <c r="V389" i="71"/>
  <c r="V396" i="71" s="1"/>
  <c r="H388" i="71"/>
  <c r="H395" i="71" s="1"/>
  <c r="D387" i="71"/>
  <c r="D439" i="71" s="1"/>
  <c r="D482" i="71" s="1"/>
  <c r="F375" i="71"/>
  <c r="J376" i="71"/>
  <c r="N375" i="71"/>
  <c r="P375" i="71"/>
  <c r="N376" i="71"/>
  <c r="U376" i="71"/>
  <c r="O376" i="71"/>
  <c r="F387" i="71"/>
  <c r="F394" i="71" s="1"/>
  <c r="R387" i="71"/>
  <c r="R394" i="71" s="1"/>
  <c r="U374" i="71"/>
  <c r="M376" i="71"/>
  <c r="S389" i="71"/>
  <c r="S396" i="71" s="1"/>
  <c r="E374" i="71"/>
  <c r="S388" i="71"/>
  <c r="S395" i="71" s="1"/>
  <c r="L374" i="71"/>
  <c r="T375" i="71"/>
  <c r="S376" i="71"/>
  <c r="K387" i="71"/>
  <c r="K429" i="71" s="1"/>
  <c r="K151" i="71" s="1"/>
  <c r="L416" i="71" s="1"/>
  <c r="M387" i="71"/>
  <c r="M429" i="71" s="1"/>
  <c r="M151" i="71" s="1"/>
  <c r="N416" i="71" s="1"/>
  <c r="S387" i="71"/>
  <c r="S394" i="71" s="1"/>
  <c r="V375" i="71"/>
  <c r="K374" i="71"/>
  <c r="C373" i="71"/>
  <c r="C386" i="71"/>
  <c r="C453" i="71"/>
  <c r="O374" i="71"/>
  <c r="G375" i="71"/>
  <c r="D374" i="71"/>
  <c r="E376" i="71"/>
  <c r="F389" i="71"/>
  <c r="Q388" i="71"/>
  <c r="Q395" i="71" s="1"/>
  <c r="K388" i="71"/>
  <c r="K430" i="71" s="1"/>
  <c r="K194" i="71" s="1"/>
  <c r="V387" i="71"/>
  <c r="V394" i="71" s="1"/>
  <c r="O387" i="71"/>
  <c r="O394" i="71" s="1"/>
  <c r="N374" i="71"/>
  <c r="H389" i="71"/>
  <c r="H396" i="71" s="1"/>
  <c r="U388" i="71"/>
  <c r="U395" i="71" s="1"/>
  <c r="M375" i="71"/>
  <c r="R374" i="71"/>
  <c r="U387" i="71"/>
  <c r="H374" i="71"/>
  <c r="N387" i="71"/>
  <c r="N429" i="71" s="1"/>
  <c r="N151" i="71" s="1"/>
  <c r="O416" i="71" s="1"/>
  <c r="G324" i="71"/>
  <c r="G17" i="92"/>
  <c r="R324" i="71"/>
  <c r="G18" i="92"/>
  <c r="N18" i="92"/>
  <c r="G150" i="71"/>
  <c r="N454" i="71"/>
  <c r="D338" i="71"/>
  <c r="P338" i="71"/>
  <c r="E338" i="71"/>
  <c r="E384" i="71" s="1"/>
  <c r="Q338" i="71"/>
  <c r="F338" i="71"/>
  <c r="R338" i="71"/>
  <c r="G338" i="71"/>
  <c r="S338" i="71"/>
  <c r="H338" i="71"/>
  <c r="T338" i="71"/>
  <c r="I338" i="71"/>
  <c r="U338" i="71"/>
  <c r="J338" i="71"/>
  <c r="V338" i="71"/>
  <c r="K338" i="71"/>
  <c r="O338" i="71"/>
  <c r="L338" i="71"/>
  <c r="M338" i="71"/>
  <c r="N338" i="71"/>
  <c r="H31" i="71"/>
  <c r="H36" i="71" s="1"/>
  <c r="H118" i="71"/>
  <c r="H75" i="71"/>
  <c r="BC14" i="11"/>
  <c r="BC11" i="11"/>
  <c r="BC12" i="11"/>
  <c r="O150" i="71"/>
  <c r="P150" i="71"/>
  <c r="L150" i="71"/>
  <c r="Q454" i="71"/>
  <c r="BV13" i="11"/>
  <c r="K150" i="71"/>
  <c r="L454" i="71"/>
  <c r="U193" i="71"/>
  <c r="K454" i="71"/>
  <c r="V395" i="71"/>
  <c r="B107" i="71"/>
  <c r="B122" i="71" s="1"/>
  <c r="C436" i="71"/>
  <c r="C451" i="71"/>
  <c r="G454" i="71"/>
  <c r="H455" i="71"/>
  <c r="G193" i="71"/>
  <c r="J235" i="71"/>
  <c r="M454" i="71"/>
  <c r="F150" i="71"/>
  <c r="S455" i="71"/>
  <c r="T150" i="71"/>
  <c r="U394" i="71"/>
  <c r="D454" i="71"/>
  <c r="I19" i="92"/>
  <c r="C454" i="71"/>
  <c r="F454" i="71"/>
  <c r="B150" i="71"/>
  <c r="B165" i="71" s="1"/>
  <c r="C168" i="71" s="1"/>
  <c r="C169" i="71" s="1"/>
  <c r="L21" i="92"/>
  <c r="E21" i="92"/>
  <c r="I21" i="92"/>
  <c r="C394" i="71"/>
  <c r="L19" i="92"/>
  <c r="E19" i="92"/>
  <c r="L20" i="92"/>
  <c r="E20" i="92"/>
  <c r="I20" i="92"/>
  <c r="N193" i="71"/>
  <c r="I455" i="71"/>
  <c r="E394" i="71"/>
  <c r="D150" i="71"/>
  <c r="D165" i="71" s="1"/>
  <c r="D168" i="71" s="1"/>
  <c r="D169" i="71" s="1"/>
  <c r="H193" i="71"/>
  <c r="O395" i="71"/>
  <c r="M193" i="71"/>
  <c r="I454" i="71"/>
  <c r="N430" i="71"/>
  <c r="N194" i="71" s="1"/>
  <c r="J454" i="71"/>
  <c r="I150" i="71"/>
  <c r="N455" i="71"/>
  <c r="H150" i="71"/>
  <c r="O455" i="71"/>
  <c r="E456" i="71"/>
  <c r="V455" i="71"/>
  <c r="J193" i="71"/>
  <c r="C455" i="71"/>
  <c r="R454" i="71"/>
  <c r="R150" i="71"/>
  <c r="E431" i="71"/>
  <c r="E236" i="71" s="1"/>
  <c r="B193" i="71"/>
  <c r="B208" i="71" s="1"/>
  <c r="B291" i="71" s="1"/>
  <c r="K455" i="71"/>
  <c r="O456" i="71"/>
  <c r="O396" i="71"/>
  <c r="L456" i="71"/>
  <c r="F455" i="71"/>
  <c r="F430" i="71"/>
  <c r="F194" i="71" s="1"/>
  <c r="P19" i="92"/>
  <c r="J430" i="71"/>
  <c r="J194" i="71" s="1"/>
  <c r="V454" i="71"/>
  <c r="BN12" i="11" a="1"/>
  <c r="BN12" i="11" s="1"/>
  <c r="J455" i="71"/>
  <c r="P20" i="92"/>
  <c r="K235" i="71"/>
  <c r="P21" i="92"/>
  <c r="M455" i="71"/>
  <c r="L193" i="71"/>
  <c r="R193" i="71"/>
  <c r="P454" i="71"/>
  <c r="F193" i="71"/>
  <c r="D455" i="71"/>
  <c r="N235" i="71"/>
  <c r="P395" i="71"/>
  <c r="T454" i="71"/>
  <c r="S150" i="71"/>
  <c r="E455" i="71"/>
  <c r="E395" i="71"/>
  <c r="H456" i="71"/>
  <c r="P455" i="71"/>
  <c r="O193" i="71"/>
  <c r="AN11" i="11"/>
  <c r="AO11" i="11" s="1"/>
  <c r="S235" i="71"/>
  <c r="N150" i="71"/>
  <c r="K193" i="71"/>
  <c r="F396" i="71"/>
  <c r="R455" i="71"/>
  <c r="R235" i="71"/>
  <c r="Q193" i="71"/>
  <c r="BN14" i="11" a="1"/>
  <c r="BN14" i="11" s="1"/>
  <c r="L455" i="71"/>
  <c r="Q455" i="71"/>
  <c r="L235" i="71"/>
  <c r="BN13" i="11" a="1"/>
  <c r="BN13" i="11" s="1"/>
  <c r="U455" i="71"/>
  <c r="F456" i="71"/>
  <c r="P193" i="71"/>
  <c r="T456" i="71"/>
  <c r="J456" i="71"/>
  <c r="T193" i="71"/>
  <c r="M456" i="71"/>
  <c r="I235" i="71"/>
  <c r="T235" i="71"/>
  <c r="J396" i="71"/>
  <c r="U456" i="71"/>
  <c r="D20" i="67"/>
  <c r="D33" i="67" s="1"/>
  <c r="G455" i="71"/>
  <c r="U235" i="71"/>
  <c r="I396" i="71"/>
  <c r="C235" i="71"/>
  <c r="C250" i="71" s="1"/>
  <c r="C293" i="71" s="1"/>
  <c r="C193" i="71"/>
  <c r="C208" i="71" s="1"/>
  <c r="C215" i="71" s="1"/>
  <c r="C276" i="71" s="1"/>
  <c r="I456" i="71"/>
  <c r="H235" i="71"/>
  <c r="F235" i="71"/>
  <c r="D456" i="71"/>
  <c r="D440" i="71"/>
  <c r="D483" i="71" s="1"/>
  <c r="K456" i="71"/>
  <c r="M396" i="71"/>
  <c r="P235" i="71"/>
  <c r="G456" i="71"/>
  <c r="Q456" i="71"/>
  <c r="N396" i="71"/>
  <c r="R456" i="71"/>
  <c r="P456" i="71"/>
  <c r="O235" i="71"/>
  <c r="M235" i="71"/>
  <c r="B235" i="71"/>
  <c r="B250" i="71" s="1"/>
  <c r="B257" i="71" s="1"/>
  <c r="B278" i="71" s="1"/>
  <c r="T395" i="71"/>
  <c r="C456" i="71"/>
  <c r="T455" i="71"/>
  <c r="Q235" i="71"/>
  <c r="BN11" i="11" a="1"/>
  <c r="BN11" i="11" s="1"/>
  <c r="AU13" i="11"/>
  <c r="AU12" i="11"/>
  <c r="AW12" i="11"/>
  <c r="AU11" i="11"/>
  <c r="AU14" i="11"/>
  <c r="AW11" i="11"/>
  <c r="AV14" i="11"/>
  <c r="AW14" i="11" s="1"/>
  <c r="AV13" i="11"/>
  <c r="AW13" i="11" s="1"/>
  <c r="C452" i="71"/>
  <c r="M395" i="71"/>
  <c r="I395" i="71"/>
  <c r="J394" i="71"/>
  <c r="P394" i="71"/>
  <c r="I394" i="71"/>
  <c r="T394" i="71"/>
  <c r="G395" i="71"/>
  <c r="R395" i="71"/>
  <c r="L394" i="71"/>
  <c r="G396" i="71"/>
  <c r="U396" i="71"/>
  <c r="N394" i="71"/>
  <c r="B440" i="71"/>
  <c r="B438" i="71"/>
  <c r="B436" i="71"/>
  <c r="B437" i="71"/>
  <c r="B372" i="71"/>
  <c r="D257" i="71"/>
  <c r="D293" i="71"/>
  <c r="D291" i="71"/>
  <c r="C172" i="71"/>
  <c r="C274" i="71" s="1"/>
  <c r="C289" i="71"/>
  <c r="C118" i="71"/>
  <c r="C123" i="71" s="1"/>
  <c r="C75" i="71"/>
  <c r="C80" i="71" s="1"/>
  <c r="C31" i="71"/>
  <c r="C36" i="71" s="1"/>
  <c r="W7" i="92"/>
  <c r="B373" i="71"/>
  <c r="B374" i="71"/>
  <c r="B375" i="71"/>
  <c r="B376" i="71"/>
  <c r="N142" i="71"/>
  <c r="N144" i="71" s="1"/>
  <c r="N227" i="71"/>
  <c r="N229" i="71" s="1"/>
  <c r="O239" i="71"/>
  <c r="O197" i="71"/>
  <c r="O154" i="71"/>
  <c r="O111" i="71"/>
  <c r="O68" i="71"/>
  <c r="P24" i="71"/>
  <c r="Q438" i="56"/>
  <c r="P429" i="71"/>
  <c r="P151" i="71" s="1"/>
  <c r="Q416" i="71" s="1"/>
  <c r="H429" i="71"/>
  <c r="H151" i="71" s="1"/>
  <c r="I416" i="71" s="1"/>
  <c r="L429" i="71"/>
  <c r="L151" i="71" s="1"/>
  <c r="M416" i="71" s="1"/>
  <c r="I429" i="71"/>
  <c r="I151" i="71" s="1"/>
  <c r="J416" i="71" s="1"/>
  <c r="I430" i="71"/>
  <c r="I194" i="71" s="1"/>
  <c r="M430" i="71"/>
  <c r="M194" i="71" s="1"/>
  <c r="G430" i="71"/>
  <c r="G194" i="71" s="1"/>
  <c r="G431" i="71"/>
  <c r="G236" i="71" s="1"/>
  <c r="N99" i="71"/>
  <c r="N101" i="71" s="1"/>
  <c r="P105" i="71"/>
  <c r="P233" i="71"/>
  <c r="P191" i="71"/>
  <c r="P62" i="71"/>
  <c r="P148" i="71"/>
  <c r="M444" i="56"/>
  <c r="M445" i="56" s="1"/>
  <c r="M446" i="56"/>
  <c r="M448" i="56"/>
  <c r="N185" i="71"/>
  <c r="N187" i="71" s="1"/>
  <c r="Q228" i="71"/>
  <c r="Q186" i="71"/>
  <c r="Q100" i="71"/>
  <c r="Q143" i="71"/>
  <c r="Q57" i="71"/>
  <c r="M232" i="71"/>
  <c r="M147" i="71"/>
  <c r="M190" i="71"/>
  <c r="M104" i="71"/>
  <c r="M61" i="71"/>
  <c r="S428" i="56"/>
  <c r="R15" i="71"/>
  <c r="L444" i="56"/>
  <c r="L445" i="56" s="1"/>
  <c r="L446" i="56"/>
  <c r="L448" i="56"/>
  <c r="N56" i="71"/>
  <c r="N58" i="71" s="1"/>
  <c r="L147" i="71"/>
  <c r="L61" i="71"/>
  <c r="L232" i="71"/>
  <c r="L104" i="71"/>
  <c r="L190" i="71"/>
  <c r="Q20" i="71"/>
  <c r="R433" i="56"/>
  <c r="P199" i="71"/>
  <c r="P70" i="71"/>
  <c r="P113" i="71"/>
  <c r="P156" i="71"/>
  <c r="P241" i="71"/>
  <c r="P238" i="71"/>
  <c r="P110" i="71"/>
  <c r="P153" i="71"/>
  <c r="P196" i="71"/>
  <c r="P67" i="71"/>
  <c r="Q26" i="71"/>
  <c r="R440" i="56"/>
  <c r="Q23" i="71"/>
  <c r="R437" i="56"/>
  <c r="P198" i="71"/>
  <c r="P155" i="71"/>
  <c r="P69" i="71"/>
  <c r="P240" i="71"/>
  <c r="P112" i="71"/>
  <c r="O141" i="71"/>
  <c r="O184" i="71"/>
  <c r="O98" i="71"/>
  <c r="O55" i="71"/>
  <c r="O226" i="71"/>
  <c r="P106" i="71"/>
  <c r="P149" i="71"/>
  <c r="P63" i="71"/>
  <c r="P234" i="71"/>
  <c r="P192" i="71"/>
  <c r="Q25" i="71"/>
  <c r="R439" i="56"/>
  <c r="O97" i="71"/>
  <c r="O183" i="71"/>
  <c r="O225" i="71"/>
  <c r="O14" i="71"/>
  <c r="O16" i="71" s="1"/>
  <c r="O54" i="71"/>
  <c r="O140" i="71"/>
  <c r="Q21" i="71"/>
  <c r="R434" i="56"/>
  <c r="O427" i="56"/>
  <c r="O429" i="56" s="1"/>
  <c r="N19" i="71"/>
  <c r="N442" i="56"/>
  <c r="P12" i="71"/>
  <c r="P426" i="56"/>
  <c r="P13" i="71" s="1"/>
  <c r="B441" i="71"/>
  <c r="B439" i="71"/>
  <c r="M204" i="71"/>
  <c r="L209" i="71"/>
  <c r="K216" i="71"/>
  <c r="K277" i="71" s="1"/>
  <c r="H302" i="71" s="1"/>
  <c r="K292" i="71"/>
  <c r="M290" i="71"/>
  <c r="M173" i="71"/>
  <c r="M275" i="71" s="1"/>
  <c r="N166" i="71"/>
  <c r="O161" i="71"/>
  <c r="D31" i="71"/>
  <c r="D36" i="71" s="1"/>
  <c r="D75" i="71"/>
  <c r="D80" i="71" s="1"/>
  <c r="D118" i="71"/>
  <c r="D123" i="71" s="1"/>
  <c r="L246" i="71"/>
  <c r="K251" i="71"/>
  <c r="K258" i="71" s="1"/>
  <c r="K279" i="71" s="1"/>
  <c r="H303" i="71" s="1"/>
  <c r="R478" i="71"/>
  <c r="S474" i="71"/>
  <c r="R475" i="71"/>
  <c r="Q485" i="71"/>
  <c r="R409" i="71"/>
  <c r="R152" i="71" s="1"/>
  <c r="R410" i="71"/>
  <c r="R195" i="71" s="1"/>
  <c r="R411" i="71"/>
  <c r="R237" i="71" s="1"/>
  <c r="R413" i="71"/>
  <c r="R421" i="71" s="1"/>
  <c r="S406" i="71"/>
  <c r="T426" i="71"/>
  <c r="H430" i="71" l="1"/>
  <c r="H194" i="71" s="1"/>
  <c r="C396" i="71"/>
  <c r="K396" i="71"/>
  <c r="L430" i="71"/>
  <c r="L194" i="71" s="1"/>
  <c r="C440" i="71"/>
  <c r="C483" i="71" s="1"/>
  <c r="D441" i="71"/>
  <c r="D484" i="71" s="1"/>
  <c r="Q431" i="71"/>
  <c r="Q441" i="71" s="1"/>
  <c r="Q484" i="71" s="1"/>
  <c r="P396" i="71"/>
  <c r="Q429" i="71"/>
  <c r="Q439" i="71" s="1"/>
  <c r="Q482" i="71" s="1"/>
  <c r="V384" i="71"/>
  <c r="V436" i="71" s="1"/>
  <c r="O22" i="71"/>
  <c r="O64" i="71" s="1"/>
  <c r="P384" i="71"/>
  <c r="P436" i="71" s="1"/>
  <c r="P479" i="71" s="1"/>
  <c r="K339" i="71"/>
  <c r="K452" i="71" s="1"/>
  <c r="K384" i="71"/>
  <c r="K436" i="71" s="1"/>
  <c r="K479" i="71" s="1"/>
  <c r="I22" i="71"/>
  <c r="I64" i="71" s="1"/>
  <c r="J384" i="71"/>
  <c r="J436" i="71" s="1"/>
  <c r="J479" i="71" s="1"/>
  <c r="D339" i="71"/>
  <c r="E17" i="92" s="1"/>
  <c r="D384" i="71"/>
  <c r="U339" i="71"/>
  <c r="U452" i="71" s="1"/>
  <c r="U384" i="71"/>
  <c r="U436" i="71" s="1"/>
  <c r="L384" i="71"/>
  <c r="L436" i="71" s="1"/>
  <c r="L479" i="71" s="1"/>
  <c r="I384" i="71"/>
  <c r="I436" i="71" s="1"/>
  <c r="I479" i="71" s="1"/>
  <c r="O384" i="71"/>
  <c r="O436" i="71" s="1"/>
  <c r="O479" i="71" s="1"/>
  <c r="S22" i="71"/>
  <c r="S64" i="71" s="1"/>
  <c r="T384" i="71"/>
  <c r="T436" i="71" s="1"/>
  <c r="H339" i="71"/>
  <c r="H452" i="71" s="1"/>
  <c r="H384" i="71"/>
  <c r="H436" i="71" s="1"/>
  <c r="H479" i="71" s="1"/>
  <c r="E22" i="71"/>
  <c r="E64" i="71" s="1"/>
  <c r="F384" i="71"/>
  <c r="F436" i="71" s="1"/>
  <c r="F479" i="71" s="1"/>
  <c r="S384" i="71"/>
  <c r="S436" i="71" s="1"/>
  <c r="N339" i="71"/>
  <c r="N340" i="71" s="1"/>
  <c r="N384" i="71"/>
  <c r="N436" i="71" s="1"/>
  <c r="N479" i="71" s="1"/>
  <c r="G451" i="71"/>
  <c r="G384" i="71"/>
  <c r="G436" i="71" s="1"/>
  <c r="G479" i="71" s="1"/>
  <c r="Q384" i="71"/>
  <c r="Q436" i="71" s="1"/>
  <c r="Q479" i="71" s="1"/>
  <c r="L22" i="71"/>
  <c r="L64" i="71" s="1"/>
  <c r="M384" i="71"/>
  <c r="M436" i="71" s="1"/>
  <c r="M479" i="71" s="1"/>
  <c r="R384" i="71"/>
  <c r="R436" i="71" s="1"/>
  <c r="R479" i="71" s="1"/>
  <c r="G339" i="71"/>
  <c r="F22" i="71"/>
  <c r="F64" i="71" s="1"/>
  <c r="H284" i="71"/>
  <c r="H43" i="71"/>
  <c r="H269" i="71" s="1"/>
  <c r="C21" i="92"/>
  <c r="M394" i="71"/>
  <c r="B64" i="71"/>
  <c r="B79" i="71" s="1"/>
  <c r="B86" i="71" s="1"/>
  <c r="B270" i="71" s="1"/>
  <c r="F429" i="71"/>
  <c r="F151" i="71" s="1"/>
  <c r="G416" i="71" s="1"/>
  <c r="G429" i="71"/>
  <c r="G151" i="71" s="1"/>
  <c r="H416" i="71" s="1"/>
  <c r="O430" i="71"/>
  <c r="O194" i="71" s="1"/>
  <c r="B215" i="71"/>
  <c r="B276" i="71" s="1"/>
  <c r="C463" i="71" s="1"/>
  <c r="C439" i="71"/>
  <c r="C482" i="71" s="1"/>
  <c r="F395" i="71"/>
  <c r="B289" i="71"/>
  <c r="C470" i="71" s="1"/>
  <c r="C170" i="71"/>
  <c r="B172" i="71"/>
  <c r="B274" i="71" s="1"/>
  <c r="C462" i="71" s="1"/>
  <c r="D213" i="71"/>
  <c r="K394" i="71"/>
  <c r="J395" i="71"/>
  <c r="C7" i="92"/>
  <c r="H7" i="92" s="1"/>
  <c r="E436" i="71"/>
  <c r="E479" i="71" s="1"/>
  <c r="D22" i="71"/>
  <c r="D35" i="71" s="1"/>
  <c r="D28" i="67"/>
  <c r="C6" i="92" s="1"/>
  <c r="H6" i="92" s="1"/>
  <c r="Q430" i="71"/>
  <c r="Q440" i="71" s="1"/>
  <c r="Q483" i="71" s="1"/>
  <c r="K395" i="71"/>
  <c r="D255" i="71"/>
  <c r="F19" i="92"/>
  <c r="E429" i="71"/>
  <c r="E151" i="71" s="1"/>
  <c r="F416" i="71" s="1"/>
  <c r="D289" i="71"/>
  <c r="D470" i="71" s="1"/>
  <c r="D170" i="71"/>
  <c r="D172" i="71"/>
  <c r="M19" i="92"/>
  <c r="O20" i="92"/>
  <c r="H20" i="92"/>
  <c r="M20" i="92"/>
  <c r="F20" i="92"/>
  <c r="F21" i="92"/>
  <c r="M21" i="92"/>
  <c r="O21" i="92"/>
  <c r="D21" i="92"/>
  <c r="H21" i="92"/>
  <c r="N395" i="71"/>
  <c r="O429" i="71"/>
  <c r="O151" i="71" s="1"/>
  <c r="P416" i="71" s="1"/>
  <c r="E396" i="71"/>
  <c r="D394" i="71"/>
  <c r="H431" i="71"/>
  <c r="H236" i="71" s="1"/>
  <c r="H250" i="71" s="1"/>
  <c r="X454" i="71"/>
  <c r="F431" i="71"/>
  <c r="F236" i="71" s="1"/>
  <c r="F250" i="71" s="1"/>
  <c r="C255" i="71"/>
  <c r="E430" i="71"/>
  <c r="E194" i="71" s="1"/>
  <c r="E208" i="71" s="1"/>
  <c r="J431" i="71"/>
  <c r="J236" i="71" s="1"/>
  <c r="J250" i="71" s="1"/>
  <c r="AO13" i="11"/>
  <c r="AS14" i="11"/>
  <c r="AO12" i="11"/>
  <c r="AQ14" i="11"/>
  <c r="AR11" i="11"/>
  <c r="AS11" i="11" s="1"/>
  <c r="AQ12" i="11"/>
  <c r="AS12" i="11"/>
  <c r="AQ13" i="11"/>
  <c r="AO14" i="11"/>
  <c r="Q22" i="71"/>
  <c r="Q107" i="71" s="1"/>
  <c r="I431" i="71"/>
  <c r="I236" i="71" s="1"/>
  <c r="I250" i="71" s="1"/>
  <c r="X455" i="71"/>
  <c r="L451" i="71"/>
  <c r="D253" i="71"/>
  <c r="D254" i="71" s="1"/>
  <c r="C257" i="71"/>
  <c r="C278" i="71" s="1"/>
  <c r="C464" i="71" s="1"/>
  <c r="E339" i="71"/>
  <c r="P451" i="71"/>
  <c r="E451" i="71"/>
  <c r="U451" i="71"/>
  <c r="D451" i="71"/>
  <c r="J22" i="71"/>
  <c r="J107" i="71" s="1"/>
  <c r="Q339" i="71"/>
  <c r="S339" i="71"/>
  <c r="R22" i="71"/>
  <c r="R107" i="71" s="1"/>
  <c r="R339" i="71"/>
  <c r="K451" i="71"/>
  <c r="C22" i="71"/>
  <c r="C64" i="71" s="1"/>
  <c r="C79" i="71" s="1"/>
  <c r="J339" i="71"/>
  <c r="D211" i="71"/>
  <c r="D212" i="71" s="1"/>
  <c r="N451" i="71"/>
  <c r="P339" i="71"/>
  <c r="S451" i="71"/>
  <c r="K22" i="71"/>
  <c r="K107" i="71" s="1"/>
  <c r="P22" i="71"/>
  <c r="P64" i="71" s="1"/>
  <c r="L431" i="71"/>
  <c r="L236" i="71" s="1"/>
  <c r="L250" i="71" s="1"/>
  <c r="T451" i="71"/>
  <c r="M431" i="71"/>
  <c r="M236" i="71" s="1"/>
  <c r="M250" i="71" s="1"/>
  <c r="B293" i="71"/>
  <c r="C472" i="71" s="1"/>
  <c r="H451" i="71"/>
  <c r="M22" i="71"/>
  <c r="M64" i="71" s="1"/>
  <c r="M339" i="71"/>
  <c r="G22" i="71"/>
  <c r="G64" i="71" s="1"/>
  <c r="C291" i="71"/>
  <c r="C471" i="71" s="1"/>
  <c r="AS13" i="11"/>
  <c r="R451" i="71"/>
  <c r="C211" i="71"/>
  <c r="C212" i="71" s="1"/>
  <c r="J451" i="71"/>
  <c r="AQ11" i="11"/>
  <c r="D395" i="71"/>
  <c r="C20" i="92" s="1"/>
  <c r="M451" i="71"/>
  <c r="C213" i="71"/>
  <c r="L339" i="71"/>
  <c r="F451" i="71"/>
  <c r="F339" i="71"/>
  <c r="I451" i="71"/>
  <c r="O339" i="71"/>
  <c r="V339" i="71"/>
  <c r="H22" i="71"/>
  <c r="H107" i="71" s="1"/>
  <c r="I339" i="71"/>
  <c r="O451" i="71"/>
  <c r="Q451" i="71"/>
  <c r="U22" i="71"/>
  <c r="U64" i="71" s="1"/>
  <c r="T339" i="71"/>
  <c r="D472" i="71"/>
  <c r="T22" i="71"/>
  <c r="T107" i="71" s="1"/>
  <c r="N22" i="71"/>
  <c r="N107" i="71" s="1"/>
  <c r="C253" i="71"/>
  <c r="C254" i="71" s="1"/>
  <c r="V451" i="71"/>
  <c r="X456" i="71"/>
  <c r="S400" i="71"/>
  <c r="R400" i="71"/>
  <c r="T400" i="71"/>
  <c r="U400" i="71"/>
  <c r="V400" i="71"/>
  <c r="O400" i="71"/>
  <c r="P400" i="71"/>
  <c r="Q400" i="71"/>
  <c r="L400" i="71"/>
  <c r="J400" i="71"/>
  <c r="M400" i="71"/>
  <c r="N400" i="71"/>
  <c r="F400" i="71"/>
  <c r="G400" i="71"/>
  <c r="E400" i="71"/>
  <c r="I400" i="71"/>
  <c r="C438" i="71"/>
  <c r="C481" i="71" s="1"/>
  <c r="D218" i="71"/>
  <c r="D219" i="71" s="1"/>
  <c r="D276" i="71"/>
  <c r="D463" i="71" s="1"/>
  <c r="D278" i="71"/>
  <c r="B42" i="71"/>
  <c r="B268" i="71" s="1"/>
  <c r="B283" i="71"/>
  <c r="B287" i="71"/>
  <c r="B129" i="71"/>
  <c r="B272" i="71" s="1"/>
  <c r="O185" i="71"/>
  <c r="O187" i="71" s="1"/>
  <c r="C284" i="71"/>
  <c r="C43" i="71"/>
  <c r="C269" i="71" s="1"/>
  <c r="C87" i="71"/>
  <c r="C271" i="71" s="1"/>
  <c r="C286" i="71"/>
  <c r="C288" i="71"/>
  <c r="C130" i="71"/>
  <c r="C273" i="71" s="1"/>
  <c r="O142" i="71"/>
  <c r="O144" i="71" s="1"/>
  <c r="Q24" i="71"/>
  <c r="R438" i="56"/>
  <c r="P68" i="71"/>
  <c r="P111" i="71"/>
  <c r="P154" i="71"/>
  <c r="P239" i="71"/>
  <c r="P197" i="71"/>
  <c r="P441" i="71"/>
  <c r="P484" i="71" s="1"/>
  <c r="P439" i="71"/>
  <c r="P482" i="71" s="1"/>
  <c r="O431" i="71"/>
  <c r="O236" i="71" s="1"/>
  <c r="P430" i="71"/>
  <c r="P194" i="71" s="1"/>
  <c r="O227" i="71"/>
  <c r="O229" i="71" s="1"/>
  <c r="N431" i="71"/>
  <c r="N236" i="71" s="1"/>
  <c r="BE68" i="17"/>
  <c r="P98" i="71"/>
  <c r="P184" i="71"/>
  <c r="P141" i="71"/>
  <c r="P55" i="71"/>
  <c r="P226" i="71"/>
  <c r="R23" i="71"/>
  <c r="S437" i="56"/>
  <c r="P427" i="56"/>
  <c r="P429" i="56" s="1"/>
  <c r="O56" i="71"/>
  <c r="O58" i="71" s="1"/>
  <c r="Q110" i="71"/>
  <c r="Q238" i="71"/>
  <c r="Q153" i="71"/>
  <c r="Q196" i="71"/>
  <c r="Q67" i="71"/>
  <c r="P54" i="71"/>
  <c r="P140" i="71"/>
  <c r="P97" i="71"/>
  <c r="P183" i="71"/>
  <c r="P14" i="71"/>
  <c r="P16" i="71" s="1"/>
  <c r="P225" i="71"/>
  <c r="S440" i="56"/>
  <c r="R26" i="71"/>
  <c r="R425" i="56"/>
  <c r="Q12" i="71"/>
  <c r="Q426" i="56"/>
  <c r="Q13" i="71" s="1"/>
  <c r="O99" i="71"/>
  <c r="O101" i="71" s="1"/>
  <c r="Q241" i="71"/>
  <c r="Q199" i="71"/>
  <c r="Q156" i="71"/>
  <c r="Q70" i="71"/>
  <c r="Q113" i="71"/>
  <c r="N448" i="56"/>
  <c r="N444" i="56"/>
  <c r="N445" i="56" s="1"/>
  <c r="N446" i="56"/>
  <c r="N147" i="71"/>
  <c r="N165" i="71" s="1"/>
  <c r="N232" i="71"/>
  <c r="N104" i="71"/>
  <c r="N190" i="71"/>
  <c r="N208" i="71" s="1"/>
  <c r="N61" i="71"/>
  <c r="R25" i="71"/>
  <c r="S439" i="56"/>
  <c r="Q112" i="71"/>
  <c r="Q69" i="71"/>
  <c r="Q240" i="71"/>
  <c r="Q198" i="71"/>
  <c r="Q155" i="71"/>
  <c r="L450" i="56"/>
  <c r="L451" i="56" s="1"/>
  <c r="L452" i="56"/>
  <c r="S433" i="56"/>
  <c r="R20" i="71"/>
  <c r="O432" i="56"/>
  <c r="Q191" i="71"/>
  <c r="Q148" i="71"/>
  <c r="Q233" i="71"/>
  <c r="Q105" i="71"/>
  <c r="Q62" i="71"/>
  <c r="S434" i="56"/>
  <c r="R21" i="71"/>
  <c r="R143" i="71"/>
  <c r="R228" i="71"/>
  <c r="R186" i="71"/>
  <c r="R57" i="71"/>
  <c r="R100" i="71"/>
  <c r="Q192" i="71"/>
  <c r="Q149" i="71"/>
  <c r="Q234" i="71"/>
  <c r="Q106" i="71"/>
  <c r="Q63" i="71"/>
  <c r="T428" i="56"/>
  <c r="S15" i="71"/>
  <c r="M450" i="56"/>
  <c r="M451" i="56" s="1"/>
  <c r="M452" i="56"/>
  <c r="I439" i="71"/>
  <c r="I482" i="71" s="1"/>
  <c r="J439" i="71"/>
  <c r="J482" i="71" s="1"/>
  <c r="L440" i="71"/>
  <c r="L483" i="71" s="1"/>
  <c r="E441" i="71"/>
  <c r="E484" i="71" s="1"/>
  <c r="L439" i="71"/>
  <c r="L482" i="71" s="1"/>
  <c r="K439" i="71"/>
  <c r="K482" i="71" s="1"/>
  <c r="M440" i="71"/>
  <c r="M483" i="71" s="1"/>
  <c r="K441" i="71"/>
  <c r="K484" i="71" s="1"/>
  <c r="N439" i="71"/>
  <c r="N482" i="71" s="1"/>
  <c r="G441" i="71"/>
  <c r="G484" i="71" s="1"/>
  <c r="K440" i="71"/>
  <c r="K483" i="71" s="1"/>
  <c r="J208" i="71"/>
  <c r="N173" i="71"/>
  <c r="N275" i="71" s="1"/>
  <c r="N290" i="71"/>
  <c r="L216" i="71"/>
  <c r="L277" i="71" s="1"/>
  <c r="L292" i="71"/>
  <c r="I165" i="71"/>
  <c r="G250" i="71"/>
  <c r="M209" i="71"/>
  <c r="N204" i="71"/>
  <c r="K208" i="71"/>
  <c r="E250" i="71"/>
  <c r="I440" i="71"/>
  <c r="I483" i="71" s="1"/>
  <c r="C437" i="71"/>
  <c r="I208" i="71"/>
  <c r="L208" i="71"/>
  <c r="H440" i="71"/>
  <c r="H483" i="71" s="1"/>
  <c r="N440" i="71"/>
  <c r="N483" i="71" s="1"/>
  <c r="F440" i="71"/>
  <c r="F483" i="71" s="1"/>
  <c r="H439" i="71"/>
  <c r="H482" i="71" s="1"/>
  <c r="M439" i="71"/>
  <c r="M482" i="71" s="1"/>
  <c r="H208" i="71"/>
  <c r="F208" i="71"/>
  <c r="H165" i="71"/>
  <c r="M165" i="71"/>
  <c r="G440" i="71"/>
  <c r="G483" i="71" s="1"/>
  <c r="D288" i="71"/>
  <c r="D130" i="71"/>
  <c r="D273" i="71" s="1"/>
  <c r="M208" i="71"/>
  <c r="G208" i="71"/>
  <c r="D286" i="71"/>
  <c r="D87" i="71"/>
  <c r="D271" i="71" s="1"/>
  <c r="D284" i="71"/>
  <c r="D43" i="71"/>
  <c r="D269" i="71" s="1"/>
  <c r="K250" i="71"/>
  <c r="J165" i="71"/>
  <c r="M246" i="71"/>
  <c r="L251" i="71"/>
  <c r="L258" i="71" s="1"/>
  <c r="L279" i="71" s="1"/>
  <c r="K165" i="71"/>
  <c r="L165" i="71"/>
  <c r="J440" i="71"/>
  <c r="J483" i="71" s="1"/>
  <c r="P161" i="71"/>
  <c r="O166" i="71"/>
  <c r="R430" i="71"/>
  <c r="R431" i="71"/>
  <c r="R429" i="71"/>
  <c r="T474" i="71"/>
  <c r="S475" i="71"/>
  <c r="S478" i="71"/>
  <c r="R485" i="71"/>
  <c r="S410" i="71"/>
  <c r="S195" i="71" s="1"/>
  <c r="T406" i="71"/>
  <c r="S411" i="71"/>
  <c r="S237" i="71" s="1"/>
  <c r="S409" i="71"/>
  <c r="S152" i="71" s="1"/>
  <c r="S413" i="71"/>
  <c r="S421" i="71" s="1"/>
  <c r="U426" i="71"/>
  <c r="Q236" i="71" l="1"/>
  <c r="Q151" i="71"/>
  <c r="R416" i="71" s="1"/>
  <c r="J21" i="92"/>
  <c r="N452" i="71"/>
  <c r="K340" i="71"/>
  <c r="K453" i="71" s="1"/>
  <c r="I107" i="71"/>
  <c r="S107" i="71"/>
  <c r="F372" i="71"/>
  <c r="F385" i="71"/>
  <c r="F392" i="71" s="1"/>
  <c r="D372" i="71"/>
  <c r="F17" i="92" s="1"/>
  <c r="D385" i="71"/>
  <c r="H18" i="92" s="1"/>
  <c r="D452" i="71"/>
  <c r="U372" i="71"/>
  <c r="U385" i="71"/>
  <c r="U392" i="71" s="1"/>
  <c r="J372" i="71"/>
  <c r="J385" i="71"/>
  <c r="J427" i="71" s="1"/>
  <c r="J407" i="71" s="1"/>
  <c r="J66" i="71" s="1"/>
  <c r="K414" i="71" s="1"/>
  <c r="K422" i="71" s="1"/>
  <c r="K417" i="71" s="1"/>
  <c r="D340" i="71"/>
  <c r="E18" i="92" s="1"/>
  <c r="L372" i="71"/>
  <c r="L385" i="71"/>
  <c r="L437" i="71" s="1"/>
  <c r="L480" i="71" s="1"/>
  <c r="E107" i="71"/>
  <c r="I372" i="71"/>
  <c r="I385" i="71"/>
  <c r="I437" i="71" s="1"/>
  <c r="I480" i="71" s="1"/>
  <c r="L107" i="71"/>
  <c r="E372" i="71"/>
  <c r="E385" i="71"/>
  <c r="E427" i="71" s="1"/>
  <c r="E407" i="71" s="1"/>
  <c r="E66" i="71" s="1"/>
  <c r="F414" i="71" s="1"/>
  <c r="G372" i="71"/>
  <c r="G385" i="71"/>
  <c r="G437" i="71" s="1"/>
  <c r="G480" i="71" s="1"/>
  <c r="K372" i="71"/>
  <c r="K385" i="71"/>
  <c r="K437" i="71" s="1"/>
  <c r="K480" i="71" s="1"/>
  <c r="T372" i="71"/>
  <c r="T385" i="71"/>
  <c r="T437" i="71" s="1"/>
  <c r="U340" i="71"/>
  <c r="U453" i="71" s="1"/>
  <c r="R372" i="71"/>
  <c r="R385" i="71"/>
  <c r="R392" i="71" s="1"/>
  <c r="O107" i="71"/>
  <c r="I17" i="92"/>
  <c r="N372" i="71"/>
  <c r="N385" i="71"/>
  <c r="N437" i="71" s="1"/>
  <c r="N480" i="71" s="1"/>
  <c r="H372" i="71"/>
  <c r="H385" i="71"/>
  <c r="H427" i="71" s="1"/>
  <c r="H407" i="71" s="1"/>
  <c r="H66" i="71" s="1"/>
  <c r="I414" i="71" s="1"/>
  <c r="N373" i="71"/>
  <c r="N386" i="71"/>
  <c r="N393" i="71" s="1"/>
  <c r="V372" i="71"/>
  <c r="V385" i="71"/>
  <c r="V437" i="71" s="1"/>
  <c r="M372" i="71"/>
  <c r="M385" i="71"/>
  <c r="M437" i="71" s="1"/>
  <c r="M480" i="71" s="1"/>
  <c r="S372" i="71"/>
  <c r="S385" i="71"/>
  <c r="S392" i="71" s="1"/>
  <c r="H340" i="71"/>
  <c r="O372" i="71"/>
  <c r="O385" i="71"/>
  <c r="O437" i="71" s="1"/>
  <c r="O480" i="71" s="1"/>
  <c r="P372" i="71"/>
  <c r="P385" i="71"/>
  <c r="P392" i="71" s="1"/>
  <c r="Q372" i="71"/>
  <c r="Q385" i="71"/>
  <c r="Q392" i="71" s="1"/>
  <c r="O452" i="71"/>
  <c r="G340" i="71"/>
  <c r="S452" i="71"/>
  <c r="F340" i="71"/>
  <c r="Q340" i="71"/>
  <c r="Q453" i="71" s="1"/>
  <c r="L340" i="71"/>
  <c r="F107" i="71"/>
  <c r="G452" i="71"/>
  <c r="B285" i="71"/>
  <c r="C175" i="71"/>
  <c r="C176" i="71" s="1"/>
  <c r="F165" i="71"/>
  <c r="F172" i="71" s="1"/>
  <c r="F439" i="71"/>
  <c r="F482" i="71" s="1"/>
  <c r="D262" i="71"/>
  <c r="C177" i="71"/>
  <c r="G165" i="71"/>
  <c r="G289" i="71" s="1"/>
  <c r="G439" i="71"/>
  <c r="G482" i="71" s="1"/>
  <c r="C218" i="71"/>
  <c r="C219" i="71" s="1"/>
  <c r="O440" i="71"/>
  <c r="O483" i="71" s="1"/>
  <c r="C220" i="71"/>
  <c r="O17" i="92"/>
  <c r="Q194" i="71"/>
  <c r="D220" i="71"/>
  <c r="D177" i="71"/>
  <c r="Z394" i="71"/>
  <c r="C19" i="92"/>
  <c r="E439" i="71"/>
  <c r="E482" i="71" s="1"/>
  <c r="D175" i="71"/>
  <c r="D176" i="71" s="1"/>
  <c r="D274" i="71"/>
  <c r="D462" i="71" s="1"/>
  <c r="X396" i="71"/>
  <c r="Y396" i="71"/>
  <c r="Z396" i="71"/>
  <c r="O439" i="71"/>
  <c r="O482" i="71" s="1"/>
  <c r="Z395" i="71"/>
  <c r="H441" i="71"/>
  <c r="H484" i="71" s="1"/>
  <c r="E165" i="71"/>
  <c r="AA394" i="71"/>
  <c r="AB394" i="71" s="1"/>
  <c r="AA396" i="71"/>
  <c r="AB396" i="71" s="1"/>
  <c r="Y394" i="71"/>
  <c r="D20" i="92"/>
  <c r="K21" i="92"/>
  <c r="D19" i="92"/>
  <c r="K19" i="92"/>
  <c r="K20" i="92"/>
  <c r="P17" i="92"/>
  <c r="H17" i="92"/>
  <c r="L17" i="92"/>
  <c r="F441" i="71"/>
  <c r="F484" i="71" s="1"/>
  <c r="X394" i="71"/>
  <c r="J19" i="92"/>
  <c r="I441" i="71"/>
  <c r="I484" i="71" s="1"/>
  <c r="J441" i="71"/>
  <c r="J484" i="71" s="1"/>
  <c r="E440" i="71"/>
  <c r="E483" i="71" s="1"/>
  <c r="J20" i="92"/>
  <c r="D436" i="71"/>
  <c r="Q64" i="71"/>
  <c r="D107" i="71"/>
  <c r="D122" i="71" s="1"/>
  <c r="D127" i="71" s="1"/>
  <c r="D64" i="71"/>
  <c r="D79" i="71" s="1"/>
  <c r="D84" i="71" s="1"/>
  <c r="E452" i="71"/>
  <c r="S340" i="71"/>
  <c r="E340" i="71"/>
  <c r="C260" i="71"/>
  <c r="C261" i="71" s="1"/>
  <c r="R340" i="71"/>
  <c r="R64" i="71"/>
  <c r="K64" i="71"/>
  <c r="C262" i="71"/>
  <c r="P452" i="71"/>
  <c r="D260" i="71"/>
  <c r="D261" i="71" s="1"/>
  <c r="D464" i="71"/>
  <c r="J64" i="71"/>
  <c r="C35" i="71"/>
  <c r="P340" i="71"/>
  <c r="Q452" i="71"/>
  <c r="J452" i="71"/>
  <c r="J340" i="71"/>
  <c r="C107" i="71"/>
  <c r="C122" i="71" s="1"/>
  <c r="R452" i="71"/>
  <c r="L441" i="71"/>
  <c r="L484" i="71" s="1"/>
  <c r="P107" i="71"/>
  <c r="M441" i="71"/>
  <c r="M484" i="71" s="1"/>
  <c r="I452" i="71"/>
  <c r="T452" i="71"/>
  <c r="D471" i="71"/>
  <c r="Y395" i="71"/>
  <c r="M107" i="71"/>
  <c r="I340" i="71"/>
  <c r="V452" i="71"/>
  <c r="V340" i="71"/>
  <c r="G107" i="71"/>
  <c r="M340" i="71"/>
  <c r="M452" i="71"/>
  <c r="L452" i="71"/>
  <c r="H64" i="71"/>
  <c r="AA395" i="71"/>
  <c r="AB395" i="71" s="1"/>
  <c r="X395" i="71"/>
  <c r="N64" i="71"/>
  <c r="F452" i="71"/>
  <c r="O340" i="71"/>
  <c r="X451" i="71"/>
  <c r="T340" i="71"/>
  <c r="U107" i="71"/>
  <c r="T64" i="71"/>
  <c r="C400" i="71"/>
  <c r="C392" i="71"/>
  <c r="K400" i="71"/>
  <c r="D400" i="71"/>
  <c r="H400" i="71"/>
  <c r="E76" i="71"/>
  <c r="E80" i="71" s="1"/>
  <c r="E87" i="71" s="1"/>
  <c r="E271" i="71" s="1"/>
  <c r="H76" i="71"/>
  <c r="H80" i="71" s="1"/>
  <c r="H286" i="71" s="1"/>
  <c r="G76" i="71"/>
  <c r="G80" i="71" s="1"/>
  <c r="G87" i="71" s="1"/>
  <c r="G271" i="71" s="1"/>
  <c r="L76" i="71"/>
  <c r="L80" i="71" s="1"/>
  <c r="L87" i="71" s="1"/>
  <c r="L271" i="71" s="1"/>
  <c r="K76" i="71"/>
  <c r="K80" i="71" s="1"/>
  <c r="K87" i="71" s="1"/>
  <c r="K271" i="71" s="1"/>
  <c r="H119" i="71"/>
  <c r="H123" i="71" s="1"/>
  <c r="H288" i="71" s="1"/>
  <c r="N76" i="71"/>
  <c r="N80" i="71" s="1"/>
  <c r="N286" i="71" s="1"/>
  <c r="J76" i="71"/>
  <c r="J80" i="71" s="1"/>
  <c r="J87" i="71" s="1"/>
  <c r="J271" i="71" s="1"/>
  <c r="G119" i="71"/>
  <c r="G123" i="71" s="1"/>
  <c r="G130" i="71" s="1"/>
  <c r="G273" i="71" s="1"/>
  <c r="K119" i="71"/>
  <c r="K123" i="71" s="1"/>
  <c r="K288" i="71" s="1"/>
  <c r="P76" i="71"/>
  <c r="P80" i="71" s="1"/>
  <c r="P87" i="71" s="1"/>
  <c r="P271" i="71" s="1"/>
  <c r="C285" i="71"/>
  <c r="N453" i="71"/>
  <c r="C84" i="71"/>
  <c r="C82" i="71"/>
  <c r="C86" i="71"/>
  <c r="C91" i="71" s="1"/>
  <c r="P56" i="71"/>
  <c r="P58" i="71" s="1"/>
  <c r="P185" i="71"/>
  <c r="P187" i="71" s="1"/>
  <c r="S438" i="56"/>
  <c r="R24" i="71"/>
  <c r="Q154" i="71"/>
  <c r="Q68" i="71"/>
  <c r="Q111" i="71"/>
  <c r="Q239" i="71"/>
  <c r="Q197" i="71"/>
  <c r="O441" i="71"/>
  <c r="O484" i="71" s="1"/>
  <c r="N250" i="71"/>
  <c r="N257" i="71" s="1"/>
  <c r="P440" i="71"/>
  <c r="P483" i="71" s="1"/>
  <c r="P142" i="71"/>
  <c r="P144" i="71" s="1"/>
  <c r="N441" i="71"/>
  <c r="N484" i="71" s="1"/>
  <c r="R199" i="71"/>
  <c r="R156" i="71"/>
  <c r="R241" i="71"/>
  <c r="R70" i="71"/>
  <c r="R113" i="71"/>
  <c r="S26" i="71"/>
  <c r="T440" i="56"/>
  <c r="S25" i="71"/>
  <c r="T439" i="56"/>
  <c r="P227" i="71"/>
  <c r="P229" i="71" s="1"/>
  <c r="P432" i="56"/>
  <c r="R69" i="71"/>
  <c r="R155" i="71"/>
  <c r="R112" i="71"/>
  <c r="R198" i="71"/>
  <c r="R240" i="71"/>
  <c r="T437" i="56"/>
  <c r="S23" i="71"/>
  <c r="O19" i="71"/>
  <c r="O442" i="56"/>
  <c r="P99" i="71"/>
  <c r="P101" i="71" s="1"/>
  <c r="R67" i="71"/>
  <c r="R110" i="71"/>
  <c r="R238" i="71"/>
  <c r="R153" i="71"/>
  <c r="R196" i="71"/>
  <c r="Q98" i="71"/>
  <c r="Q184" i="71"/>
  <c r="Q141" i="71"/>
  <c r="Q226" i="71"/>
  <c r="Q55" i="71"/>
  <c r="R62" i="71"/>
  <c r="R191" i="71"/>
  <c r="R233" i="71"/>
  <c r="R105" i="71"/>
  <c r="R148" i="71"/>
  <c r="Q54" i="71"/>
  <c r="Q225" i="71"/>
  <c r="Q183" i="71"/>
  <c r="Q14" i="71"/>
  <c r="Q16" i="71" s="1"/>
  <c r="Q97" i="71"/>
  <c r="Q140" i="71"/>
  <c r="S20" i="71"/>
  <c r="T433" i="56"/>
  <c r="Q427" i="56"/>
  <c r="Q429" i="56" s="1"/>
  <c r="S143" i="71"/>
  <c r="S186" i="71"/>
  <c r="S228" i="71"/>
  <c r="S57" i="71"/>
  <c r="S100" i="71"/>
  <c r="R106" i="71"/>
  <c r="R234" i="71"/>
  <c r="R63" i="71"/>
  <c r="R149" i="71"/>
  <c r="R192" i="71"/>
  <c r="R12" i="71"/>
  <c r="S425" i="56"/>
  <c r="R426" i="56"/>
  <c r="R13" i="71" s="1"/>
  <c r="T15" i="71"/>
  <c r="U428" i="56"/>
  <c r="U15" i="71" s="1"/>
  <c r="S21" i="71"/>
  <c r="T434" i="56"/>
  <c r="N450" i="56"/>
  <c r="N451" i="56" s="1"/>
  <c r="N452" i="56"/>
  <c r="J289" i="71"/>
  <c r="J170" i="71"/>
  <c r="J172" i="71"/>
  <c r="J168" i="71"/>
  <c r="J169" i="71" s="1"/>
  <c r="H257" i="71"/>
  <c r="H293" i="71"/>
  <c r="H255" i="71"/>
  <c r="H253" i="71"/>
  <c r="H254" i="71" s="1"/>
  <c r="M216" i="71"/>
  <c r="M277" i="71" s="1"/>
  <c r="M292" i="71"/>
  <c r="L289" i="71"/>
  <c r="L168" i="71"/>
  <c r="L169" i="71" s="1"/>
  <c r="L170" i="71"/>
  <c r="L172" i="71"/>
  <c r="N213" i="71"/>
  <c r="N215" i="71"/>
  <c r="N211" i="71"/>
  <c r="N212" i="71" s="1"/>
  <c r="N291" i="71"/>
  <c r="D283" i="71"/>
  <c r="D40" i="71"/>
  <c r="D42" i="71"/>
  <c r="E422" i="71"/>
  <c r="E417" i="71" s="1"/>
  <c r="E291" i="71"/>
  <c r="E471" i="71" s="1"/>
  <c r="E211" i="71"/>
  <c r="E212" i="71" s="1"/>
  <c r="E215" i="71"/>
  <c r="E213" i="71"/>
  <c r="E35" i="71"/>
  <c r="K168" i="71"/>
  <c r="K169" i="71" s="1"/>
  <c r="K289" i="71"/>
  <c r="K172" i="71"/>
  <c r="K170" i="71"/>
  <c r="M215" i="71"/>
  <c r="M211" i="71"/>
  <c r="M212" i="71" s="1"/>
  <c r="M213" i="71"/>
  <c r="M291" i="71"/>
  <c r="H211" i="71"/>
  <c r="H212" i="71" s="1"/>
  <c r="H213" i="71"/>
  <c r="H291" i="71"/>
  <c r="H215" i="71"/>
  <c r="E255" i="71"/>
  <c r="E257" i="71"/>
  <c r="E253" i="71"/>
  <c r="E254" i="71" s="1"/>
  <c r="E293" i="71"/>
  <c r="E472" i="71" s="1"/>
  <c r="L213" i="71"/>
  <c r="L211" i="71"/>
  <c r="L212" i="71" s="1"/>
  <c r="L215" i="71"/>
  <c r="L291" i="71"/>
  <c r="G211" i="71"/>
  <c r="G212" i="71" s="1"/>
  <c r="G213" i="71"/>
  <c r="G215" i="71"/>
  <c r="G291" i="71"/>
  <c r="M255" i="71"/>
  <c r="M293" i="71"/>
  <c r="M253" i="71"/>
  <c r="M254" i="71" s="1"/>
  <c r="M257" i="71"/>
  <c r="K291" i="71"/>
  <c r="K213" i="71"/>
  <c r="K211" i="71"/>
  <c r="K212" i="71" s="1"/>
  <c r="K215" i="71"/>
  <c r="N168" i="71"/>
  <c r="N169" i="71" s="1"/>
  <c r="N170" i="71"/>
  <c r="N289" i="71"/>
  <c r="N172" i="71"/>
  <c r="M251" i="71"/>
  <c r="M258" i="71" s="1"/>
  <c r="M279" i="71" s="1"/>
  <c r="N246" i="71"/>
  <c r="H172" i="71"/>
  <c r="H170" i="71"/>
  <c r="H289" i="71"/>
  <c r="G255" i="71"/>
  <c r="G253" i="71"/>
  <c r="G254" i="71" s="1"/>
  <c r="G257" i="71"/>
  <c r="G293" i="71"/>
  <c r="O173" i="71"/>
  <c r="O275" i="71" s="1"/>
  <c r="O290" i="71"/>
  <c r="K253" i="71"/>
  <c r="K254" i="71" s="1"/>
  <c r="K293" i="71"/>
  <c r="K257" i="71"/>
  <c r="K255" i="71"/>
  <c r="I291" i="71"/>
  <c r="I213" i="71"/>
  <c r="I215" i="71"/>
  <c r="I211" i="71"/>
  <c r="I212" i="71" s="1"/>
  <c r="I293" i="71"/>
  <c r="I253" i="71"/>
  <c r="I254" i="71" s="1"/>
  <c r="I255" i="71"/>
  <c r="I257" i="71"/>
  <c r="F213" i="71"/>
  <c r="F211" i="71"/>
  <c r="F212" i="71" s="1"/>
  <c r="F291" i="71"/>
  <c r="F215" i="71"/>
  <c r="D298" i="71"/>
  <c r="H298" i="71"/>
  <c r="L298" i="71"/>
  <c r="P298" i="71"/>
  <c r="M172" i="71"/>
  <c r="M168" i="71"/>
  <c r="M169" i="71" s="1"/>
  <c r="M289" i="71"/>
  <c r="M170" i="71"/>
  <c r="P166" i="71"/>
  <c r="Q161" i="71"/>
  <c r="F257" i="71"/>
  <c r="F255" i="71"/>
  <c r="F293" i="71"/>
  <c r="F253" i="71"/>
  <c r="F254" i="71" s="1"/>
  <c r="J213" i="71"/>
  <c r="J215" i="71"/>
  <c r="J211" i="71"/>
  <c r="J212" i="71" s="1"/>
  <c r="J291" i="71"/>
  <c r="J253" i="71"/>
  <c r="J254" i="71" s="1"/>
  <c r="J255" i="71"/>
  <c r="J293" i="71"/>
  <c r="J257" i="71"/>
  <c r="O204" i="71"/>
  <c r="N209" i="71"/>
  <c r="I168" i="71"/>
  <c r="I169" i="71" s="1"/>
  <c r="I170" i="71"/>
  <c r="I289" i="71"/>
  <c r="I172" i="71"/>
  <c r="L255" i="71"/>
  <c r="L253" i="71"/>
  <c r="L254" i="71" s="1"/>
  <c r="L257" i="71"/>
  <c r="L293" i="71"/>
  <c r="R151" i="71"/>
  <c r="S416" i="71" s="1"/>
  <c r="R439" i="71"/>
  <c r="R482" i="71" s="1"/>
  <c r="R236" i="71"/>
  <c r="R441" i="71"/>
  <c r="R484" i="71" s="1"/>
  <c r="S485" i="71"/>
  <c r="S479" i="71"/>
  <c r="R194" i="71"/>
  <c r="R440" i="71"/>
  <c r="R483" i="71" s="1"/>
  <c r="S430" i="71"/>
  <c r="S429" i="71"/>
  <c r="S431" i="71"/>
  <c r="T478" i="71"/>
  <c r="T475" i="71"/>
  <c r="U474" i="71"/>
  <c r="T413" i="71"/>
  <c r="T421" i="71" s="1"/>
  <c r="U406" i="71"/>
  <c r="T410" i="71"/>
  <c r="T195" i="71" s="1"/>
  <c r="T409" i="71"/>
  <c r="T152" i="71" s="1"/>
  <c r="T411" i="71"/>
  <c r="T237" i="71" s="1"/>
  <c r="V426" i="71"/>
  <c r="R437" i="71" l="1"/>
  <c r="R480" i="71" s="1"/>
  <c r="U437" i="71"/>
  <c r="N427" i="71"/>
  <c r="N407" i="71" s="1"/>
  <c r="N66" i="71" s="1"/>
  <c r="N72" i="71" s="1"/>
  <c r="D392" i="71"/>
  <c r="C17" i="92" s="1"/>
  <c r="D437" i="71"/>
  <c r="N392" i="71"/>
  <c r="H72" i="71"/>
  <c r="G392" i="71"/>
  <c r="G427" i="71"/>
  <c r="G407" i="71" s="1"/>
  <c r="G66" i="71" s="1"/>
  <c r="G72" i="71" s="1"/>
  <c r="H437" i="71"/>
  <c r="H480" i="71" s="1"/>
  <c r="K386" i="71"/>
  <c r="K428" i="71" s="1"/>
  <c r="K108" i="71" s="1"/>
  <c r="K115" i="71" s="1"/>
  <c r="K373" i="71"/>
  <c r="H392" i="71"/>
  <c r="D453" i="71"/>
  <c r="F373" i="71"/>
  <c r="F386" i="71"/>
  <c r="F393" i="71" s="1"/>
  <c r="P373" i="71"/>
  <c r="P386" i="71"/>
  <c r="P393" i="71" s="1"/>
  <c r="H373" i="71"/>
  <c r="H386" i="71"/>
  <c r="H393" i="71" s="1"/>
  <c r="T373" i="71"/>
  <c r="T386" i="71"/>
  <c r="T393" i="71" s="1"/>
  <c r="M373" i="71"/>
  <c r="M386" i="71"/>
  <c r="M393" i="71" s="1"/>
  <c r="R373" i="71"/>
  <c r="R386" i="71"/>
  <c r="R393" i="71" s="1"/>
  <c r="G373" i="71"/>
  <c r="G386" i="71"/>
  <c r="G428" i="71" s="1"/>
  <c r="G108" i="71" s="1"/>
  <c r="H415" i="71" s="1"/>
  <c r="H423" i="71" s="1"/>
  <c r="H418" i="71" s="1"/>
  <c r="I18" i="92"/>
  <c r="E373" i="71"/>
  <c r="E386" i="71"/>
  <c r="E393" i="71" s="1"/>
  <c r="J373" i="71"/>
  <c r="J386" i="71"/>
  <c r="J393" i="71" s="1"/>
  <c r="O373" i="71"/>
  <c r="O386" i="71"/>
  <c r="O393" i="71" s="1"/>
  <c r="V373" i="71"/>
  <c r="V386" i="71"/>
  <c r="V393" i="71" s="1"/>
  <c r="S373" i="71"/>
  <c r="S386" i="71"/>
  <c r="S393" i="71" s="1"/>
  <c r="D373" i="71"/>
  <c r="F18" i="92" s="1"/>
  <c r="D386" i="71"/>
  <c r="H19" i="92" s="1"/>
  <c r="K392" i="71"/>
  <c r="I373" i="71"/>
  <c r="I386" i="71"/>
  <c r="I393" i="71" s="1"/>
  <c r="H453" i="71"/>
  <c r="Q373" i="71"/>
  <c r="Q386" i="71"/>
  <c r="Q393" i="71" s="1"/>
  <c r="K427" i="71"/>
  <c r="K407" i="71" s="1"/>
  <c r="K66" i="71" s="1"/>
  <c r="K72" i="71" s="1"/>
  <c r="L373" i="71"/>
  <c r="L386" i="71"/>
  <c r="L393" i="71" s="1"/>
  <c r="U373" i="71"/>
  <c r="U386" i="71"/>
  <c r="U393" i="71" s="1"/>
  <c r="E392" i="71"/>
  <c r="E437" i="71"/>
  <c r="E480" i="71" s="1"/>
  <c r="L453" i="71"/>
  <c r="R427" i="71"/>
  <c r="R407" i="71" s="1"/>
  <c r="R66" i="71" s="1"/>
  <c r="S414" i="71" s="1"/>
  <c r="S422" i="71" s="1"/>
  <c r="S417" i="71" s="1"/>
  <c r="I427" i="71"/>
  <c r="I407" i="71" s="1"/>
  <c r="I66" i="71" s="1"/>
  <c r="J414" i="71" s="1"/>
  <c r="J422" i="71" s="1"/>
  <c r="J417" i="71" s="1"/>
  <c r="I392" i="71"/>
  <c r="J453" i="71"/>
  <c r="F453" i="71"/>
  <c r="G453" i="71"/>
  <c r="M453" i="71"/>
  <c r="V453" i="71"/>
  <c r="F289" i="71"/>
  <c r="G470" i="71" s="1"/>
  <c r="F168" i="71"/>
  <c r="F169" i="71" s="1"/>
  <c r="F170" i="71"/>
  <c r="C468" i="71"/>
  <c r="G168" i="71"/>
  <c r="G169" i="71" s="1"/>
  <c r="G170" i="71"/>
  <c r="G172" i="71"/>
  <c r="H175" i="71" s="1"/>
  <c r="H176" i="71" s="1"/>
  <c r="H168" i="71"/>
  <c r="H169" i="71" s="1"/>
  <c r="E172" i="71"/>
  <c r="E274" i="71" s="1"/>
  <c r="E170" i="71"/>
  <c r="E289" i="71"/>
  <c r="E470" i="71" s="1"/>
  <c r="E168" i="71"/>
  <c r="E169" i="71" s="1"/>
  <c r="D17" i="92"/>
  <c r="M17" i="92"/>
  <c r="O18" i="92"/>
  <c r="L18" i="92"/>
  <c r="P18" i="92"/>
  <c r="E72" i="71"/>
  <c r="E79" i="71" s="1"/>
  <c r="D82" i="71"/>
  <c r="D83" i="71" s="1"/>
  <c r="D285" i="71"/>
  <c r="D468" i="71" s="1"/>
  <c r="D86" i="71"/>
  <c r="D91" i="71" s="1"/>
  <c r="E453" i="71"/>
  <c r="Q427" i="71"/>
  <c r="Q407" i="71" s="1"/>
  <c r="Q66" i="71" s="1"/>
  <c r="R414" i="71" s="1"/>
  <c r="R422" i="71" s="1"/>
  <c r="R417" i="71" s="1"/>
  <c r="D287" i="71"/>
  <c r="D129" i="71"/>
  <c r="D134" i="71" s="1"/>
  <c r="Q437" i="71"/>
  <c r="Q480" i="71" s="1"/>
  <c r="R453" i="71"/>
  <c r="S453" i="71"/>
  <c r="P453" i="71"/>
  <c r="S437" i="71"/>
  <c r="S480" i="71" s="1"/>
  <c r="S427" i="71"/>
  <c r="S407" i="71" s="1"/>
  <c r="S66" i="71" s="1"/>
  <c r="T414" i="71" s="1"/>
  <c r="P427" i="71"/>
  <c r="P407" i="71" s="1"/>
  <c r="P66" i="71" s="1"/>
  <c r="Q414" i="71" s="1"/>
  <c r="Q422" i="71" s="1"/>
  <c r="Q417" i="71" s="1"/>
  <c r="P437" i="71"/>
  <c r="P480" i="71" s="1"/>
  <c r="C283" i="71"/>
  <c r="C38" i="71"/>
  <c r="C39" i="71" s="1"/>
  <c r="C40" i="71"/>
  <c r="C42" i="71"/>
  <c r="C47" i="71" s="1"/>
  <c r="D38" i="71"/>
  <c r="D39" i="71" s="1"/>
  <c r="L427" i="71"/>
  <c r="L407" i="71" s="1"/>
  <c r="L66" i="71" s="1"/>
  <c r="M414" i="71" s="1"/>
  <c r="M422" i="71" s="1"/>
  <c r="M417" i="71" s="1"/>
  <c r="I453" i="71"/>
  <c r="C129" i="71"/>
  <c r="C272" i="71" s="1"/>
  <c r="C125" i="71"/>
  <c r="C126" i="71" s="1"/>
  <c r="D125" i="71"/>
  <c r="D126" i="71" s="1"/>
  <c r="C287" i="71"/>
  <c r="C469" i="71" s="1"/>
  <c r="C127" i="71"/>
  <c r="J392" i="71"/>
  <c r="J437" i="71"/>
  <c r="J480" i="71" s="1"/>
  <c r="F437" i="71"/>
  <c r="F480" i="71" s="1"/>
  <c r="T453" i="71"/>
  <c r="M427" i="71"/>
  <c r="M407" i="71" s="1"/>
  <c r="M66" i="71" s="1"/>
  <c r="N414" i="71" s="1"/>
  <c r="N422" i="71" s="1"/>
  <c r="N417" i="71" s="1"/>
  <c r="L392" i="71"/>
  <c r="F427" i="71"/>
  <c r="F407" i="71" s="1"/>
  <c r="F66" i="71" s="1"/>
  <c r="G414" i="71" s="1"/>
  <c r="G422" i="71" s="1"/>
  <c r="G417" i="71" s="1"/>
  <c r="V392" i="71"/>
  <c r="M392" i="71"/>
  <c r="X452" i="71"/>
  <c r="O392" i="71"/>
  <c r="O453" i="71"/>
  <c r="T392" i="71"/>
  <c r="O427" i="71"/>
  <c r="O407" i="71" s="1"/>
  <c r="O66" i="71" s="1"/>
  <c r="P414" i="71" s="1"/>
  <c r="P422" i="71" s="1"/>
  <c r="P417" i="71" s="1"/>
  <c r="G286" i="71"/>
  <c r="E286" i="71"/>
  <c r="L286" i="71"/>
  <c r="G288" i="71"/>
  <c r="C393" i="71"/>
  <c r="X400" i="71"/>
  <c r="Y400" i="71"/>
  <c r="AA400" i="71"/>
  <c r="Z400" i="71"/>
  <c r="N87" i="71"/>
  <c r="N271" i="71" s="1"/>
  <c r="K130" i="71"/>
  <c r="K273" i="71" s="1"/>
  <c r="J286" i="71"/>
  <c r="K286" i="71"/>
  <c r="P286" i="71"/>
  <c r="J72" i="71"/>
  <c r="N428" i="71"/>
  <c r="N108" i="71" s="1"/>
  <c r="O415" i="71" s="1"/>
  <c r="O423" i="71" s="1"/>
  <c r="O418" i="71" s="1"/>
  <c r="H87" i="71"/>
  <c r="H271" i="71" s="1"/>
  <c r="H130" i="71"/>
  <c r="H273" i="71" s="1"/>
  <c r="R119" i="71"/>
  <c r="R123" i="71" s="1"/>
  <c r="R130" i="71" s="1"/>
  <c r="R273" i="71" s="1"/>
  <c r="J119" i="71"/>
  <c r="J123" i="71" s="1"/>
  <c r="N119" i="71"/>
  <c r="N123" i="71" s="1"/>
  <c r="L119" i="71"/>
  <c r="L123" i="71" s="1"/>
  <c r="I119" i="71"/>
  <c r="I123" i="71" s="1"/>
  <c r="O119" i="71"/>
  <c r="O123" i="71" s="1"/>
  <c r="M119" i="71"/>
  <c r="M123" i="71" s="1"/>
  <c r="E423" i="71"/>
  <c r="E418" i="71" s="1"/>
  <c r="E119" i="71"/>
  <c r="E123" i="71" s="1"/>
  <c r="F119" i="71"/>
  <c r="F123" i="71" s="1"/>
  <c r="P119" i="71"/>
  <c r="P123" i="71" s="1"/>
  <c r="O76" i="71"/>
  <c r="O80" i="71" s="1"/>
  <c r="F422" i="71"/>
  <c r="F417" i="71" s="1"/>
  <c r="F76" i="71"/>
  <c r="F80" i="71" s="1"/>
  <c r="S76" i="71"/>
  <c r="S80" i="71" s="1"/>
  <c r="I422" i="71"/>
  <c r="I417" i="71" s="1"/>
  <c r="I76" i="71"/>
  <c r="I80" i="71" s="1"/>
  <c r="R76" i="71"/>
  <c r="R80" i="71" s="1"/>
  <c r="Q76" i="71"/>
  <c r="Q80" i="71" s="1"/>
  <c r="M76" i="71"/>
  <c r="M80" i="71" s="1"/>
  <c r="C83" i="71"/>
  <c r="C270" i="71"/>
  <c r="C89" i="71"/>
  <c r="C90" i="71" s="1"/>
  <c r="Q185" i="71"/>
  <c r="Q187" i="71" s="1"/>
  <c r="R111" i="71"/>
  <c r="R68" i="71"/>
  <c r="R197" i="71"/>
  <c r="R239" i="71"/>
  <c r="R154" i="71"/>
  <c r="S24" i="71"/>
  <c r="T438" i="56"/>
  <c r="R306" i="71"/>
  <c r="N293" i="71"/>
  <c r="N472" i="71" s="1"/>
  <c r="N253" i="71"/>
  <c r="N254" i="71" s="1"/>
  <c r="Q227" i="71"/>
  <c r="Q229" i="71" s="1"/>
  <c r="N255" i="71"/>
  <c r="Q56" i="71"/>
  <c r="Q58" i="71" s="1"/>
  <c r="R427" i="56"/>
  <c r="R429" i="56" s="1"/>
  <c r="S233" i="71"/>
  <c r="S191" i="71"/>
  <c r="S148" i="71"/>
  <c r="S105" i="71"/>
  <c r="S62" i="71"/>
  <c r="O444" i="56"/>
  <c r="O445" i="56" s="1"/>
  <c r="O446" i="56"/>
  <c r="O448" i="56"/>
  <c r="T25" i="71"/>
  <c r="U439" i="56"/>
  <c r="U25" i="71" s="1"/>
  <c r="T20" i="71"/>
  <c r="U433" i="56"/>
  <c r="U20" i="71" s="1"/>
  <c r="Q142" i="71"/>
  <c r="Q144" i="71" s="1"/>
  <c r="O232" i="71"/>
  <c r="O250" i="71" s="1"/>
  <c r="O61" i="71"/>
  <c r="O147" i="71"/>
  <c r="O165" i="71" s="1"/>
  <c r="O104" i="71"/>
  <c r="O190" i="71"/>
  <c r="O208" i="71" s="1"/>
  <c r="S69" i="71"/>
  <c r="S155" i="71"/>
  <c r="S240" i="71"/>
  <c r="S112" i="71"/>
  <c r="S198" i="71"/>
  <c r="Q99" i="71"/>
  <c r="Q101" i="71" s="1"/>
  <c r="S67" i="71"/>
  <c r="S110" i="71"/>
  <c r="S196" i="71"/>
  <c r="S153" i="71"/>
  <c r="S238" i="71"/>
  <c r="U437" i="56"/>
  <c r="U23" i="71" s="1"/>
  <c r="T23" i="71"/>
  <c r="T26" i="71"/>
  <c r="U440" i="56"/>
  <c r="U26" i="71" s="1"/>
  <c r="U434" i="56"/>
  <c r="U21" i="71" s="1"/>
  <c r="T21" i="71"/>
  <c r="S156" i="71"/>
  <c r="S241" i="71"/>
  <c r="S199" i="71"/>
  <c r="S113" i="71"/>
  <c r="S70" i="71"/>
  <c r="S106" i="71"/>
  <c r="S192" i="71"/>
  <c r="S149" i="71"/>
  <c r="S63" i="71"/>
  <c r="S234" i="71"/>
  <c r="U57" i="71"/>
  <c r="U100" i="71"/>
  <c r="U228" i="71"/>
  <c r="U186" i="71"/>
  <c r="U143" i="71"/>
  <c r="T143" i="71"/>
  <c r="T186" i="71"/>
  <c r="T228" i="71"/>
  <c r="T57" i="71"/>
  <c r="T100" i="71"/>
  <c r="R141" i="71"/>
  <c r="R184" i="71"/>
  <c r="R226" i="71"/>
  <c r="R55" i="71"/>
  <c r="R98" i="71"/>
  <c r="S426" i="56"/>
  <c r="S13" i="71" s="1"/>
  <c r="S12" i="71"/>
  <c r="T425" i="56"/>
  <c r="R225" i="71"/>
  <c r="R183" i="71"/>
  <c r="R14" i="71"/>
  <c r="R16" i="71" s="1"/>
  <c r="R54" i="71"/>
  <c r="R140" i="71"/>
  <c r="R97" i="71"/>
  <c r="Q432" i="56"/>
  <c r="P19" i="71"/>
  <c r="P442" i="56"/>
  <c r="L472" i="71"/>
  <c r="F472" i="71"/>
  <c r="G472" i="71"/>
  <c r="G471" i="71"/>
  <c r="L471" i="71"/>
  <c r="J471" i="71"/>
  <c r="K470" i="71"/>
  <c r="I472" i="71"/>
  <c r="M470" i="71"/>
  <c r="F471" i="71"/>
  <c r="I262" i="71"/>
  <c r="I278" i="71"/>
  <c r="I260" i="71"/>
  <c r="I261" i="71" s="1"/>
  <c r="G260" i="71"/>
  <c r="G261" i="71" s="1"/>
  <c r="G278" i="71"/>
  <c r="G262" i="71"/>
  <c r="O246" i="71"/>
  <c r="N251" i="71"/>
  <c r="N258" i="71" s="1"/>
  <c r="N279" i="71" s="1"/>
  <c r="K274" i="71"/>
  <c r="K177" i="71"/>
  <c r="K175" i="71"/>
  <c r="K176" i="71" s="1"/>
  <c r="L276" i="71"/>
  <c r="L218" i="71"/>
  <c r="L219" i="71" s="1"/>
  <c r="L220" i="71"/>
  <c r="I301" i="71"/>
  <c r="I303" i="71"/>
  <c r="I302" i="71"/>
  <c r="K218" i="71"/>
  <c r="K219" i="71" s="1"/>
  <c r="K276" i="71"/>
  <c r="K220" i="71"/>
  <c r="H471" i="71"/>
  <c r="H472" i="71"/>
  <c r="I177" i="71"/>
  <c r="I274" i="71"/>
  <c r="I175" i="71"/>
  <c r="I176" i="71" s="1"/>
  <c r="J220" i="71"/>
  <c r="J218" i="71"/>
  <c r="J219" i="71" s="1"/>
  <c r="J276" i="71"/>
  <c r="F260" i="71"/>
  <c r="F261" i="71" s="1"/>
  <c r="F278" i="71"/>
  <c r="F262" i="71"/>
  <c r="E301" i="71"/>
  <c r="E302" i="71"/>
  <c r="E303" i="71"/>
  <c r="K262" i="71"/>
  <c r="K278" i="71"/>
  <c r="K260" i="71"/>
  <c r="K261" i="71" s="1"/>
  <c r="H278" i="71"/>
  <c r="H260" i="71"/>
  <c r="H261" i="71" s="1"/>
  <c r="H262" i="71"/>
  <c r="E260" i="71"/>
  <c r="E261" i="71" s="1"/>
  <c r="E278" i="71"/>
  <c r="E262" i="71"/>
  <c r="I470" i="71"/>
  <c r="F276" i="71"/>
  <c r="F220" i="71"/>
  <c r="F218" i="71"/>
  <c r="F219" i="71" s="1"/>
  <c r="K472" i="71"/>
  <c r="F177" i="71"/>
  <c r="F274" i="71"/>
  <c r="I276" i="71"/>
  <c r="I220" i="71"/>
  <c r="I218" i="71"/>
  <c r="I219" i="71" s="1"/>
  <c r="H470" i="71"/>
  <c r="K471" i="71"/>
  <c r="M471" i="71"/>
  <c r="L177" i="71"/>
  <c r="L175" i="71"/>
  <c r="L176" i="71" s="1"/>
  <c r="L274" i="71"/>
  <c r="H218" i="71"/>
  <c r="H219" i="71" s="1"/>
  <c r="H220" i="71"/>
  <c r="H276" i="71"/>
  <c r="M278" i="71"/>
  <c r="M260" i="71"/>
  <c r="M261" i="71" s="1"/>
  <c r="M262" i="71"/>
  <c r="F35" i="71"/>
  <c r="L278" i="71"/>
  <c r="L262" i="71"/>
  <c r="L260" i="71"/>
  <c r="L261" i="71" s="1"/>
  <c r="N216" i="71"/>
  <c r="N277" i="71" s="1"/>
  <c r="N292" i="71"/>
  <c r="P173" i="71"/>
  <c r="P275" i="71" s="1"/>
  <c r="L301" i="71" s="1"/>
  <c r="P290" i="71"/>
  <c r="I471" i="71"/>
  <c r="H274" i="71"/>
  <c r="H177" i="71"/>
  <c r="E38" i="71"/>
  <c r="E39" i="71" s="1"/>
  <c r="E42" i="71"/>
  <c r="E40" i="71"/>
  <c r="E283" i="71"/>
  <c r="D268" i="71"/>
  <c r="D47" i="71"/>
  <c r="N471" i="71"/>
  <c r="J274" i="71"/>
  <c r="J175" i="71"/>
  <c r="J176" i="71" s="1"/>
  <c r="J177" i="71"/>
  <c r="P204" i="71"/>
  <c r="O209" i="71"/>
  <c r="N274" i="71"/>
  <c r="N175" i="71"/>
  <c r="N176" i="71" s="1"/>
  <c r="N177" i="71"/>
  <c r="M472" i="71"/>
  <c r="N262" i="71"/>
  <c r="N278" i="71"/>
  <c r="N260" i="71"/>
  <c r="N261" i="71" s="1"/>
  <c r="M276" i="71"/>
  <c r="M220" i="71"/>
  <c r="M218" i="71"/>
  <c r="M219" i="71" s="1"/>
  <c r="L470" i="71"/>
  <c r="M274" i="71"/>
  <c r="M175" i="71"/>
  <c r="M176" i="71" s="1"/>
  <c r="M177" i="71"/>
  <c r="G276" i="71"/>
  <c r="G220" i="71"/>
  <c r="G218" i="71"/>
  <c r="G219" i="71" s="1"/>
  <c r="J260" i="71"/>
  <c r="J261" i="71" s="1"/>
  <c r="J262" i="71"/>
  <c r="J278" i="71"/>
  <c r="N470" i="71"/>
  <c r="N276" i="71"/>
  <c r="N220" i="71"/>
  <c r="N218" i="71"/>
  <c r="N219" i="71" s="1"/>
  <c r="J470" i="71"/>
  <c r="Q166" i="71"/>
  <c r="R161" i="71"/>
  <c r="J472" i="71"/>
  <c r="E218" i="71"/>
  <c r="E219" i="71" s="1"/>
  <c r="E220" i="71"/>
  <c r="E276" i="71"/>
  <c r="U478" i="71"/>
  <c r="U475" i="71"/>
  <c r="T480" i="71"/>
  <c r="T479" i="71"/>
  <c r="T485" i="71"/>
  <c r="S236" i="71"/>
  <c r="S441" i="71"/>
  <c r="S484" i="71" s="1"/>
  <c r="S439" i="71"/>
  <c r="S482" i="71" s="1"/>
  <c r="S151" i="71"/>
  <c r="T416" i="71" s="1"/>
  <c r="T429" i="71"/>
  <c r="T427" i="71"/>
  <c r="T407" i="71" s="1"/>
  <c r="T66" i="71" s="1"/>
  <c r="U414" i="71" s="1"/>
  <c r="T431" i="71"/>
  <c r="T430" i="71"/>
  <c r="S194" i="71"/>
  <c r="S440" i="71"/>
  <c r="S483" i="71" s="1"/>
  <c r="U409" i="71"/>
  <c r="U152" i="71" s="1"/>
  <c r="U413" i="71"/>
  <c r="U421" i="71" s="1"/>
  <c r="U410" i="71"/>
  <c r="U195" i="71" s="1"/>
  <c r="V406" i="71"/>
  <c r="U411" i="71"/>
  <c r="U237" i="71" s="1"/>
  <c r="V429" i="71"/>
  <c r="V439" i="71" s="1"/>
  <c r="V427" i="71"/>
  <c r="V431" i="71"/>
  <c r="V441" i="71" s="1"/>
  <c r="V430" i="71"/>
  <c r="V440" i="71" s="1"/>
  <c r="O414" i="71" l="1"/>
  <c r="O422" i="71" s="1"/>
  <c r="O417" i="71" s="1"/>
  <c r="H414" i="71"/>
  <c r="H422" i="71" s="1"/>
  <c r="H417" i="71" s="1"/>
  <c r="X392" i="71"/>
  <c r="K393" i="71"/>
  <c r="L415" i="71"/>
  <c r="L423" i="71" s="1"/>
  <c r="L418" i="71" s="1"/>
  <c r="K438" i="71"/>
  <c r="K481" i="71" s="1"/>
  <c r="D438" i="71"/>
  <c r="D481" i="71" s="1"/>
  <c r="D393" i="71"/>
  <c r="I72" i="71"/>
  <c r="R428" i="71"/>
  <c r="R108" i="71" s="1"/>
  <c r="S415" i="71" s="1"/>
  <c r="S423" i="71" s="1"/>
  <c r="S418" i="71" s="1"/>
  <c r="G393" i="71"/>
  <c r="G115" i="71"/>
  <c r="G122" i="71" s="1"/>
  <c r="L414" i="71"/>
  <c r="L422" i="71" s="1"/>
  <c r="L417" i="71" s="1"/>
  <c r="G438" i="71"/>
  <c r="G481" i="71" s="1"/>
  <c r="H428" i="71"/>
  <c r="H108" i="71" s="1"/>
  <c r="R72" i="71"/>
  <c r="S428" i="71"/>
  <c r="S108" i="71" s="1"/>
  <c r="S115" i="71" s="1"/>
  <c r="I428" i="71"/>
  <c r="I108" i="71" s="1"/>
  <c r="J415" i="71" s="1"/>
  <c r="J423" i="71" s="1"/>
  <c r="J418" i="71" s="1"/>
  <c r="F428" i="71"/>
  <c r="F108" i="71" s="1"/>
  <c r="G415" i="71" s="1"/>
  <c r="G423" i="71" s="1"/>
  <c r="G418" i="71" s="1"/>
  <c r="L428" i="71"/>
  <c r="L108" i="71" s="1"/>
  <c r="M415" i="71" s="1"/>
  <c r="M423" i="71" s="1"/>
  <c r="M418" i="71" s="1"/>
  <c r="Q428" i="71"/>
  <c r="Q108" i="71" s="1"/>
  <c r="R415" i="71" s="1"/>
  <c r="R423" i="71" s="1"/>
  <c r="R418" i="71" s="1"/>
  <c r="E175" i="71"/>
  <c r="E176" i="71" s="1"/>
  <c r="G274" i="71"/>
  <c r="D309" i="71" s="1"/>
  <c r="G177" i="71"/>
  <c r="G175" i="71"/>
  <c r="G176" i="71" s="1"/>
  <c r="E177" i="71"/>
  <c r="F470" i="71"/>
  <c r="F175" i="71"/>
  <c r="F176" i="71" s="1"/>
  <c r="J17" i="92"/>
  <c r="K17" i="92"/>
  <c r="M18" i="92"/>
  <c r="O19" i="92"/>
  <c r="B309" i="71"/>
  <c r="B310" i="71"/>
  <c r="D310" i="71"/>
  <c r="D311" i="71"/>
  <c r="B311" i="71"/>
  <c r="C461" i="71"/>
  <c r="D270" i="71"/>
  <c r="D89" i="71"/>
  <c r="D90" i="71" s="1"/>
  <c r="P428" i="71"/>
  <c r="P108" i="71" s="1"/>
  <c r="Q415" i="71" s="1"/>
  <c r="Q423" i="71" s="1"/>
  <c r="Q418" i="71" s="1"/>
  <c r="Q72" i="71"/>
  <c r="D272" i="71"/>
  <c r="E428" i="71"/>
  <c r="E108" i="71" s="1"/>
  <c r="F415" i="71" s="1"/>
  <c r="F423" i="71" s="1"/>
  <c r="F418" i="71" s="1"/>
  <c r="S72" i="71"/>
  <c r="D469" i="71"/>
  <c r="L72" i="71"/>
  <c r="D45" i="71"/>
  <c r="D46" i="71" s="1"/>
  <c r="P72" i="71"/>
  <c r="C132" i="71"/>
  <c r="C133" i="71" s="1"/>
  <c r="C134" i="71"/>
  <c r="D132" i="71"/>
  <c r="D133" i="71" s="1"/>
  <c r="C45" i="71"/>
  <c r="C46" i="71" s="1"/>
  <c r="C268" i="71"/>
  <c r="X453" i="71"/>
  <c r="Y392" i="71"/>
  <c r="J428" i="71"/>
  <c r="J108" i="71" s="1"/>
  <c r="K415" i="71" s="1"/>
  <c r="K423" i="71" s="1"/>
  <c r="K418" i="71" s="1"/>
  <c r="V428" i="71"/>
  <c r="V438" i="71" s="1"/>
  <c r="M72" i="71"/>
  <c r="O72" i="71"/>
  <c r="M428" i="71"/>
  <c r="M108" i="71" s="1"/>
  <c r="N415" i="71" s="1"/>
  <c r="N423" i="71" s="1"/>
  <c r="N418" i="71" s="1"/>
  <c r="F72" i="71"/>
  <c r="F79" i="71" s="1"/>
  <c r="F84" i="71" s="1"/>
  <c r="T428" i="71"/>
  <c r="T108" i="71" s="1"/>
  <c r="Z392" i="71"/>
  <c r="AA392" i="71"/>
  <c r="O428" i="71"/>
  <c r="O108" i="71" s="1"/>
  <c r="P415" i="71" s="1"/>
  <c r="P423" i="71" s="1"/>
  <c r="P418" i="71" s="1"/>
  <c r="AB400" i="71"/>
  <c r="N438" i="71"/>
  <c r="N481" i="71" s="1"/>
  <c r="N115" i="71"/>
  <c r="R288" i="71"/>
  <c r="S119" i="71"/>
  <c r="S123" i="71" s="1"/>
  <c r="S130" i="71" s="1"/>
  <c r="S273" i="71" s="1"/>
  <c r="Q119" i="71"/>
  <c r="Q123" i="71" s="1"/>
  <c r="Q130" i="71" s="1"/>
  <c r="Q273" i="71" s="1"/>
  <c r="O288" i="71"/>
  <c r="O130" i="71"/>
  <c r="O273" i="71" s="1"/>
  <c r="I130" i="71"/>
  <c r="I273" i="71" s="1"/>
  <c r="I288" i="71"/>
  <c r="F288" i="71"/>
  <c r="F130" i="71"/>
  <c r="F273" i="71" s="1"/>
  <c r="N288" i="71"/>
  <c r="N130" i="71"/>
  <c r="N273" i="71" s="1"/>
  <c r="L130" i="71"/>
  <c r="L273" i="71" s="1"/>
  <c r="L288" i="71"/>
  <c r="P130" i="71"/>
  <c r="P273" i="71" s="1"/>
  <c r="P288" i="71"/>
  <c r="E288" i="71"/>
  <c r="E130" i="71"/>
  <c r="E273" i="71" s="1"/>
  <c r="J130" i="71"/>
  <c r="J273" i="71" s="1"/>
  <c r="J288" i="71"/>
  <c r="M130" i="71"/>
  <c r="M273" i="71" s="1"/>
  <c r="M288" i="71"/>
  <c r="Q87" i="71"/>
  <c r="Q271" i="71" s="1"/>
  <c r="Q286" i="71"/>
  <c r="I87" i="71"/>
  <c r="I271" i="71" s="1"/>
  <c r="I286" i="71"/>
  <c r="S87" i="71"/>
  <c r="S271" i="71" s="1"/>
  <c r="S286" i="71"/>
  <c r="T422" i="71"/>
  <c r="T417" i="71" s="1"/>
  <c r="T76" i="71"/>
  <c r="T80" i="71" s="1"/>
  <c r="F87" i="71"/>
  <c r="F271" i="71" s="1"/>
  <c r="F286" i="71"/>
  <c r="R286" i="71"/>
  <c r="R87" i="71"/>
  <c r="R271" i="71" s="1"/>
  <c r="O87" i="71"/>
  <c r="O271" i="71" s="1"/>
  <c r="O286" i="71"/>
  <c r="M87" i="71"/>
  <c r="M271" i="71" s="1"/>
  <c r="M286" i="71"/>
  <c r="R142" i="71"/>
  <c r="R144" i="71" s="1"/>
  <c r="R99" i="71"/>
  <c r="R101" i="71" s="1"/>
  <c r="S68" i="71"/>
  <c r="S154" i="71"/>
  <c r="S111" i="71"/>
  <c r="S239" i="71"/>
  <c r="S197" i="71"/>
  <c r="U438" i="56"/>
  <c r="U24" i="71" s="1"/>
  <c r="T24" i="71"/>
  <c r="R227" i="71"/>
  <c r="R229" i="71" s="1"/>
  <c r="U153" i="71"/>
  <c r="U238" i="71"/>
  <c r="U110" i="71"/>
  <c r="U67" i="71"/>
  <c r="U196" i="71"/>
  <c r="O215" i="71"/>
  <c r="O291" i="71"/>
  <c r="O471" i="71" s="1"/>
  <c r="O213" i="71"/>
  <c r="O211" i="71"/>
  <c r="O212" i="71" s="1"/>
  <c r="O450" i="56"/>
  <c r="O451" i="56" s="1"/>
  <c r="O452" i="56"/>
  <c r="R185" i="71"/>
  <c r="R187" i="71" s="1"/>
  <c r="T240" i="71"/>
  <c r="T112" i="71"/>
  <c r="T155" i="71"/>
  <c r="T69" i="71"/>
  <c r="T198" i="71"/>
  <c r="S427" i="56"/>
  <c r="S429" i="56" s="1"/>
  <c r="U240" i="71"/>
  <c r="U198" i="71"/>
  <c r="U69" i="71"/>
  <c r="U155" i="71"/>
  <c r="U112" i="71"/>
  <c r="T12" i="71"/>
  <c r="U425" i="56"/>
  <c r="T426" i="56"/>
  <c r="T13" i="71" s="1"/>
  <c r="O172" i="71"/>
  <c r="O289" i="71"/>
  <c r="O470" i="71" s="1"/>
  <c r="O170" i="71"/>
  <c r="O168" i="71"/>
  <c r="O169" i="71" s="1"/>
  <c r="P444" i="56"/>
  <c r="P445" i="56" s="1"/>
  <c r="P446" i="56"/>
  <c r="P448" i="56"/>
  <c r="S140" i="71"/>
  <c r="S14" i="71"/>
  <c r="S16" i="71" s="1"/>
  <c r="S225" i="71"/>
  <c r="S183" i="71"/>
  <c r="S54" i="71"/>
  <c r="S97" i="71"/>
  <c r="P190" i="71"/>
  <c r="P208" i="71" s="1"/>
  <c r="P147" i="71"/>
  <c r="P165" i="71" s="1"/>
  <c r="P104" i="71"/>
  <c r="P61" i="71"/>
  <c r="P232" i="71"/>
  <c r="P250" i="71" s="1"/>
  <c r="S141" i="71"/>
  <c r="S226" i="71"/>
  <c r="S98" i="71"/>
  <c r="S184" i="71"/>
  <c r="S55" i="71"/>
  <c r="O293" i="71"/>
  <c r="O472" i="71" s="1"/>
  <c r="O257" i="71"/>
  <c r="O255" i="71"/>
  <c r="O253" i="71"/>
  <c r="O254" i="71" s="1"/>
  <c r="Q19" i="71"/>
  <c r="Q442" i="56"/>
  <c r="T106" i="71"/>
  <c r="T234" i="71"/>
  <c r="T63" i="71"/>
  <c r="T149" i="71"/>
  <c r="T192" i="71"/>
  <c r="U192" i="71"/>
  <c r="U63" i="71"/>
  <c r="U149" i="71"/>
  <c r="U106" i="71"/>
  <c r="U234" i="71"/>
  <c r="U105" i="71"/>
  <c r="U191" i="71"/>
  <c r="U148" i="71"/>
  <c r="U62" i="71"/>
  <c r="U233" i="71"/>
  <c r="U156" i="71"/>
  <c r="U199" i="71"/>
  <c r="U113" i="71"/>
  <c r="U70" i="71"/>
  <c r="U241" i="71"/>
  <c r="T105" i="71"/>
  <c r="T62" i="71"/>
  <c r="T233" i="71"/>
  <c r="T191" i="71"/>
  <c r="T148" i="71"/>
  <c r="R432" i="56"/>
  <c r="R56" i="71"/>
  <c r="R58" i="71" s="1"/>
  <c r="T156" i="71"/>
  <c r="T199" i="71"/>
  <c r="T70" i="71"/>
  <c r="T113" i="71"/>
  <c r="T241" i="71"/>
  <c r="T67" i="71"/>
  <c r="T110" i="71"/>
  <c r="T238" i="71"/>
  <c r="T196" i="71"/>
  <c r="T153" i="71"/>
  <c r="F462" i="71"/>
  <c r="J464" i="71"/>
  <c r="J462" i="71"/>
  <c r="M462" i="71"/>
  <c r="K463" i="71"/>
  <c r="M463" i="71"/>
  <c r="M464" i="71"/>
  <c r="G464" i="71"/>
  <c r="G463" i="71"/>
  <c r="I463" i="71"/>
  <c r="H464" i="71"/>
  <c r="E84" i="71"/>
  <c r="E82" i="71"/>
  <c r="E285" i="71"/>
  <c r="E468" i="71" s="1"/>
  <c r="E86" i="71"/>
  <c r="F283" i="71"/>
  <c r="F38" i="71"/>
  <c r="F39" i="71" s="1"/>
  <c r="F40" i="71"/>
  <c r="F42" i="71"/>
  <c r="N463" i="71"/>
  <c r="K464" i="71"/>
  <c r="K462" i="71"/>
  <c r="E463" i="71"/>
  <c r="B302" i="71"/>
  <c r="F302" i="71"/>
  <c r="N462" i="71"/>
  <c r="P246" i="71"/>
  <c r="O251" i="71"/>
  <c r="O258" i="71" s="1"/>
  <c r="O279" i="71" s="1"/>
  <c r="S161" i="71"/>
  <c r="R166" i="71"/>
  <c r="O216" i="71"/>
  <c r="O277" i="71" s="1"/>
  <c r="O292" i="71"/>
  <c r="E45" i="71"/>
  <c r="E46" i="71" s="1"/>
  <c r="E47" i="71"/>
  <c r="E268" i="71"/>
  <c r="E460" i="71" s="1"/>
  <c r="F463" i="71"/>
  <c r="I462" i="71"/>
  <c r="Q290" i="71"/>
  <c r="Q173" i="71"/>
  <c r="Q275" i="71" s="1"/>
  <c r="P209" i="71"/>
  <c r="Q204" i="71"/>
  <c r="N464" i="71"/>
  <c r="H463" i="71"/>
  <c r="E462" i="71"/>
  <c r="B301" i="71"/>
  <c r="E464" i="71"/>
  <c r="B303" i="71"/>
  <c r="F303" i="71"/>
  <c r="F464" i="71"/>
  <c r="L464" i="71"/>
  <c r="I464" i="71"/>
  <c r="G35" i="71"/>
  <c r="G79" i="71"/>
  <c r="L462" i="71"/>
  <c r="J463" i="71"/>
  <c r="L463" i="71"/>
  <c r="T151" i="71"/>
  <c r="U416" i="71" s="1"/>
  <c r="T439" i="71"/>
  <c r="T482" i="71" s="1"/>
  <c r="T441" i="71"/>
  <c r="T484" i="71" s="1"/>
  <c r="T236" i="71"/>
  <c r="T72" i="71"/>
  <c r="U427" i="71"/>
  <c r="U407" i="71" s="1"/>
  <c r="U66" i="71" s="1"/>
  <c r="V414" i="71" s="1"/>
  <c r="V422" i="71" s="1"/>
  <c r="U431" i="71"/>
  <c r="U429" i="71"/>
  <c r="U430" i="71"/>
  <c r="U428" i="71"/>
  <c r="T194" i="71"/>
  <c r="T440" i="71"/>
  <c r="T483" i="71" s="1"/>
  <c r="U479" i="71"/>
  <c r="W479" i="71" s="1"/>
  <c r="X479" i="71" s="1"/>
  <c r="U485" i="71"/>
  <c r="U480" i="71"/>
  <c r="W480" i="71" s="1"/>
  <c r="V413" i="71"/>
  <c r="V421" i="71" s="1"/>
  <c r="V409" i="71"/>
  <c r="V410" i="71"/>
  <c r="V411" i="71"/>
  <c r="V407" i="71"/>
  <c r="AA393" i="71" l="1"/>
  <c r="AB393" i="71" s="1"/>
  <c r="K18" i="92"/>
  <c r="D18" i="92"/>
  <c r="C18" i="92"/>
  <c r="Q438" i="71"/>
  <c r="Q481" i="71" s="1"/>
  <c r="Y393" i="71"/>
  <c r="R438" i="71"/>
  <c r="R481" i="71" s="1"/>
  <c r="I438" i="71"/>
  <c r="I481" i="71" s="1"/>
  <c r="R115" i="71"/>
  <c r="J18" i="92"/>
  <c r="Z393" i="71"/>
  <c r="F301" i="71"/>
  <c r="X393" i="71"/>
  <c r="T415" i="71"/>
  <c r="T423" i="71" s="1"/>
  <c r="T418" i="71" s="1"/>
  <c r="I115" i="71"/>
  <c r="S438" i="71"/>
  <c r="S481" i="71" s="1"/>
  <c r="H438" i="71"/>
  <c r="H481" i="71" s="1"/>
  <c r="I415" i="71"/>
  <c r="I423" i="71" s="1"/>
  <c r="I418" i="71" s="1"/>
  <c r="H115" i="71"/>
  <c r="H122" i="71" s="1"/>
  <c r="F438" i="71"/>
  <c r="F481" i="71" s="1"/>
  <c r="F115" i="71"/>
  <c r="F122" i="71" s="1"/>
  <c r="F129" i="71" s="1"/>
  <c r="F272" i="71" s="1"/>
  <c r="L115" i="71"/>
  <c r="L438" i="71"/>
  <c r="L481" i="71" s="1"/>
  <c r="Q115" i="71"/>
  <c r="G462" i="71"/>
  <c r="H462" i="71"/>
  <c r="D461" i="71"/>
  <c r="C460" i="71"/>
  <c r="D460" i="71"/>
  <c r="AB392" i="71"/>
  <c r="E115" i="71"/>
  <c r="E122" i="71" s="1"/>
  <c r="E129" i="71" s="1"/>
  <c r="E132" i="71" s="1"/>
  <c r="E133" i="71" s="1"/>
  <c r="E438" i="71"/>
  <c r="P115" i="71"/>
  <c r="P438" i="71"/>
  <c r="P481" i="71" s="1"/>
  <c r="J115" i="71"/>
  <c r="J438" i="71"/>
  <c r="J481" i="71" s="1"/>
  <c r="M438" i="71"/>
  <c r="M481" i="71" s="1"/>
  <c r="M115" i="71"/>
  <c r="F86" i="71"/>
  <c r="F270" i="71" s="1"/>
  <c r="T438" i="71"/>
  <c r="T481" i="71" s="1"/>
  <c r="F82" i="71"/>
  <c r="F83" i="71" s="1"/>
  <c r="F285" i="71"/>
  <c r="F468" i="71" s="1"/>
  <c r="O115" i="71"/>
  <c r="O438" i="71"/>
  <c r="O481" i="71" s="1"/>
  <c r="U306" i="71"/>
  <c r="T306" i="71"/>
  <c r="I6" i="92"/>
  <c r="X480" i="71"/>
  <c r="Q288" i="71"/>
  <c r="S288" i="71"/>
  <c r="T119" i="71"/>
  <c r="T123" i="71" s="1"/>
  <c r="T288" i="71" s="1"/>
  <c r="U415" i="71"/>
  <c r="T87" i="71"/>
  <c r="T271" i="71" s="1"/>
  <c r="T286" i="71"/>
  <c r="U422" i="71"/>
  <c r="U417" i="71" s="1"/>
  <c r="U76" i="71"/>
  <c r="U80" i="71" s="1"/>
  <c r="G129" i="71"/>
  <c r="E83" i="71"/>
  <c r="T427" i="56"/>
  <c r="T429" i="56" s="1"/>
  <c r="T432" i="56" s="1"/>
  <c r="T197" i="71"/>
  <c r="T239" i="71"/>
  <c r="T154" i="71"/>
  <c r="T68" i="71"/>
  <c r="T111" i="71"/>
  <c r="U154" i="71"/>
  <c r="U239" i="71"/>
  <c r="U197" i="71"/>
  <c r="U111" i="71"/>
  <c r="U68" i="71"/>
  <c r="S99" i="71"/>
  <c r="S101" i="71" s="1"/>
  <c r="S227" i="71"/>
  <c r="S229" i="71" s="1"/>
  <c r="P168" i="71"/>
  <c r="P169" i="71" s="1"/>
  <c r="P172" i="71"/>
  <c r="P289" i="71"/>
  <c r="P470" i="71" s="1"/>
  <c r="P170" i="71"/>
  <c r="Q190" i="71"/>
  <c r="Q208" i="71" s="1"/>
  <c r="Q147" i="71"/>
  <c r="Q165" i="71" s="1"/>
  <c r="Q232" i="71"/>
  <c r="Q250" i="71" s="1"/>
  <c r="Q61" i="71"/>
  <c r="Q104" i="71"/>
  <c r="P211" i="71"/>
  <c r="P212" i="71" s="1"/>
  <c r="P291" i="71"/>
  <c r="P471" i="71" s="1"/>
  <c r="P213" i="71"/>
  <c r="P215" i="71"/>
  <c r="S432" i="56"/>
  <c r="O278" i="71"/>
  <c r="O262" i="71"/>
  <c r="O260" i="71"/>
  <c r="O261" i="71" s="1"/>
  <c r="O274" i="71"/>
  <c r="O177" i="71"/>
  <c r="O175" i="71"/>
  <c r="O176" i="71" s="1"/>
  <c r="O220" i="71"/>
  <c r="O276" i="71"/>
  <c r="O218" i="71"/>
  <c r="O219" i="71" s="1"/>
  <c r="S56" i="71"/>
  <c r="S58" i="71" s="1"/>
  <c r="T98" i="71"/>
  <c r="T184" i="71"/>
  <c r="T55" i="71"/>
  <c r="T226" i="71"/>
  <c r="T141" i="71"/>
  <c r="S185" i="71"/>
  <c r="S187" i="71" s="1"/>
  <c r="U12" i="71"/>
  <c r="U426" i="56"/>
  <c r="U13" i="71" s="1"/>
  <c r="T140" i="71"/>
  <c r="T14" i="71"/>
  <c r="T16" i="71" s="1"/>
  <c r="T183" i="71"/>
  <c r="T225" i="71"/>
  <c r="T97" i="71"/>
  <c r="T54" i="71"/>
  <c r="R19" i="71"/>
  <c r="R442" i="56"/>
  <c r="S142" i="71"/>
  <c r="S144" i="71" s="1"/>
  <c r="P450" i="56"/>
  <c r="P451" i="56" s="1"/>
  <c r="P452" i="56"/>
  <c r="Q444" i="56"/>
  <c r="Q445" i="56" s="1"/>
  <c r="Q446" i="56"/>
  <c r="Q448" i="56"/>
  <c r="P255" i="71"/>
  <c r="P293" i="71"/>
  <c r="P472" i="71" s="1"/>
  <c r="P253" i="71"/>
  <c r="P254" i="71" s="1"/>
  <c r="P257" i="71"/>
  <c r="G82" i="71"/>
  <c r="G86" i="71"/>
  <c r="G285" i="71"/>
  <c r="G84" i="71"/>
  <c r="R173" i="71"/>
  <c r="R275" i="71" s="1"/>
  <c r="R290" i="71"/>
  <c r="T161" i="71"/>
  <c r="S166" i="71"/>
  <c r="F268" i="71"/>
  <c r="F47" i="71"/>
  <c r="F45" i="71"/>
  <c r="F46" i="71" s="1"/>
  <c r="G38" i="71"/>
  <c r="G39" i="71" s="1"/>
  <c r="G42" i="71"/>
  <c r="G40" i="71"/>
  <c r="G283" i="71"/>
  <c r="P216" i="71"/>
  <c r="P277" i="71" s="1"/>
  <c r="L302" i="71" s="1"/>
  <c r="P292" i="71"/>
  <c r="E91" i="71"/>
  <c r="E89" i="71"/>
  <c r="E90" i="71" s="1"/>
  <c r="E270" i="71"/>
  <c r="P251" i="71"/>
  <c r="P258" i="71" s="1"/>
  <c r="P279" i="71" s="1"/>
  <c r="L303" i="71" s="1"/>
  <c r="Q246" i="71"/>
  <c r="H35" i="71"/>
  <c r="H79" i="71"/>
  <c r="G127" i="71"/>
  <c r="G287" i="71"/>
  <c r="R204" i="71"/>
  <c r="Q209" i="71"/>
  <c r="M301" i="71"/>
  <c r="U72" i="71"/>
  <c r="U438" i="71"/>
  <c r="U481" i="71" s="1"/>
  <c r="U108" i="71"/>
  <c r="T115" i="71"/>
  <c r="U440" i="71"/>
  <c r="U483" i="71" s="1"/>
  <c r="W483" i="71" s="1"/>
  <c r="U194" i="71"/>
  <c r="V417" i="71" s="1"/>
  <c r="U151" i="71"/>
  <c r="V416" i="71" s="1"/>
  <c r="U439" i="71"/>
  <c r="U482" i="71" s="1"/>
  <c r="W482" i="71" s="1"/>
  <c r="G27" i="67"/>
  <c r="U236" i="71"/>
  <c r="U441" i="71"/>
  <c r="U484" i="71" s="1"/>
  <c r="W484" i="71" s="1"/>
  <c r="F134" i="71" l="1"/>
  <c r="G125" i="71"/>
  <c r="G126" i="71" s="1"/>
  <c r="F287" i="71"/>
  <c r="G469" i="71" s="1"/>
  <c r="F127" i="71"/>
  <c r="O464" i="71"/>
  <c r="O463" i="71"/>
  <c r="B298" i="71"/>
  <c r="B307" i="71"/>
  <c r="B306" i="71"/>
  <c r="E127" i="71"/>
  <c r="F125" i="71"/>
  <c r="F126" i="71" s="1"/>
  <c r="E287" i="71"/>
  <c r="E469" i="71" s="1"/>
  <c r="E481" i="71"/>
  <c r="W481" i="71" s="1"/>
  <c r="I7" i="92" s="1"/>
  <c r="E125" i="71"/>
  <c r="E126" i="71" s="1"/>
  <c r="F89" i="71"/>
  <c r="F90" i="71" s="1"/>
  <c r="F91" i="71"/>
  <c r="G468" i="71"/>
  <c r="F132" i="71"/>
  <c r="F133" i="71" s="1"/>
  <c r="E134" i="71"/>
  <c r="E272" i="71"/>
  <c r="T130" i="71"/>
  <c r="T273" i="71" s="1"/>
  <c r="U119" i="71"/>
  <c r="U123" i="71" s="1"/>
  <c r="U130" i="71" s="1"/>
  <c r="U273" i="71" s="1"/>
  <c r="V415" i="71"/>
  <c r="V423" i="71" s="1"/>
  <c r="V418" i="71" s="1"/>
  <c r="U87" i="71"/>
  <c r="U271" i="71" s="1"/>
  <c r="U286" i="71"/>
  <c r="G28" i="67"/>
  <c r="F6" i="92" s="1"/>
  <c r="B80" i="71"/>
  <c r="H129" i="71"/>
  <c r="G83" i="71"/>
  <c r="U427" i="56"/>
  <c r="U429" i="56" s="1"/>
  <c r="U432" i="56" s="1"/>
  <c r="T142" i="71"/>
  <c r="T144" i="71" s="1"/>
  <c r="T99" i="71"/>
  <c r="T101" i="71" s="1"/>
  <c r="R444" i="56"/>
  <c r="R445" i="56" s="1"/>
  <c r="R446" i="56"/>
  <c r="R448" i="56"/>
  <c r="T19" i="71"/>
  <c r="T442" i="56"/>
  <c r="P278" i="71"/>
  <c r="P464" i="71" s="1"/>
  <c r="P260" i="71"/>
  <c r="P261" i="71" s="1"/>
  <c r="P262" i="71"/>
  <c r="R147" i="71"/>
  <c r="R165" i="71" s="1"/>
  <c r="R232" i="71"/>
  <c r="R250" i="71" s="1"/>
  <c r="R190" i="71"/>
  <c r="R208" i="71" s="1"/>
  <c r="R104" i="71"/>
  <c r="R61" i="71"/>
  <c r="U140" i="71"/>
  <c r="U225" i="71"/>
  <c r="U14" i="71"/>
  <c r="U16" i="71" s="1"/>
  <c r="U54" i="71"/>
  <c r="U183" i="71"/>
  <c r="U97" i="71"/>
  <c r="T56" i="71"/>
  <c r="T58" i="71" s="1"/>
  <c r="O462" i="71"/>
  <c r="T227" i="71"/>
  <c r="T229" i="71" s="1"/>
  <c r="Q450" i="56"/>
  <c r="Q451" i="56" s="1"/>
  <c r="Q452" i="56"/>
  <c r="Q211" i="71"/>
  <c r="Q212" i="71" s="1"/>
  <c r="Q291" i="71"/>
  <c r="Q471" i="71" s="1"/>
  <c r="Q213" i="71"/>
  <c r="Q215" i="71"/>
  <c r="T185" i="71"/>
  <c r="T187" i="71" s="1"/>
  <c r="Q253" i="71"/>
  <c r="Q254" i="71" s="1"/>
  <c r="Q255" i="71"/>
  <c r="Q293" i="71"/>
  <c r="Q472" i="71" s="1"/>
  <c r="Q257" i="71"/>
  <c r="Q170" i="71"/>
  <c r="Q168" i="71"/>
  <c r="Q169" i="71" s="1"/>
  <c r="Q289" i="71"/>
  <c r="Q470" i="71" s="1"/>
  <c r="Q172" i="71"/>
  <c r="S19" i="71"/>
  <c r="S442" i="56"/>
  <c r="U141" i="71"/>
  <c r="U184" i="71"/>
  <c r="U55" i="71"/>
  <c r="U226" i="71"/>
  <c r="U98" i="71"/>
  <c r="P218" i="71"/>
  <c r="P219" i="71" s="1"/>
  <c r="P220" i="71"/>
  <c r="P276" i="71"/>
  <c r="P463" i="71" s="1"/>
  <c r="P274" i="71"/>
  <c r="P462" i="71" s="1"/>
  <c r="P175" i="71"/>
  <c r="P176" i="71" s="1"/>
  <c r="P177" i="71"/>
  <c r="U161" i="71"/>
  <c r="U166" i="71" s="1"/>
  <c r="T166" i="71"/>
  <c r="E461" i="71"/>
  <c r="F461" i="71"/>
  <c r="S204" i="71"/>
  <c r="R209" i="71"/>
  <c r="M302" i="71"/>
  <c r="M303" i="71"/>
  <c r="H84" i="71"/>
  <c r="H285" i="71"/>
  <c r="H468" i="71" s="1"/>
  <c r="H86" i="71"/>
  <c r="H82" i="71"/>
  <c r="F460" i="71"/>
  <c r="I122" i="71"/>
  <c r="I35" i="71"/>
  <c r="I79" i="71"/>
  <c r="H127" i="71"/>
  <c r="H287" i="71"/>
  <c r="H469" i="71" s="1"/>
  <c r="H125" i="71"/>
  <c r="H126" i="71" s="1"/>
  <c r="G47" i="71"/>
  <c r="G45" i="71"/>
  <c r="G46" i="71" s="1"/>
  <c r="G268" i="71"/>
  <c r="G134" i="71"/>
  <c r="G272" i="71"/>
  <c r="G132" i="71"/>
  <c r="G133" i="71" s="1"/>
  <c r="H38" i="71"/>
  <c r="H39" i="71" s="1"/>
  <c r="H42" i="71"/>
  <c r="H40" i="71"/>
  <c r="H283" i="71"/>
  <c r="G89" i="71"/>
  <c r="G90" i="71" s="1"/>
  <c r="G91" i="71"/>
  <c r="G270" i="71"/>
  <c r="G461" i="71" s="1"/>
  <c r="S173" i="71"/>
  <c r="S275" i="71" s="1"/>
  <c r="S290" i="71"/>
  <c r="Q216" i="71"/>
  <c r="Q277" i="71" s="1"/>
  <c r="Q292" i="71"/>
  <c r="R246" i="71"/>
  <c r="Q251" i="71"/>
  <c r="Q258" i="71" s="1"/>
  <c r="Q279" i="71" s="1"/>
  <c r="G83" i="67"/>
  <c r="X483" i="71"/>
  <c r="I9" i="92"/>
  <c r="U115" i="71"/>
  <c r="U423" i="71"/>
  <c r="U418" i="71" s="1"/>
  <c r="G32" i="67"/>
  <c r="G33" i="67" s="1"/>
  <c r="G108" i="67"/>
  <c r="I8" i="92"/>
  <c r="X482" i="71"/>
  <c r="X484" i="71"/>
  <c r="I10" i="92"/>
  <c r="G58" i="67"/>
  <c r="G84" i="67" l="1"/>
  <c r="F9" i="92" s="1"/>
  <c r="G59" i="67"/>
  <c r="F8" i="92" s="1"/>
  <c r="G109" i="67"/>
  <c r="F10" i="92" s="1"/>
  <c r="F310" i="71"/>
  <c r="F311" i="71"/>
  <c r="F309" i="71"/>
  <c r="C309" i="71"/>
  <c r="C310" i="71"/>
  <c r="C311" i="71"/>
  <c r="C307" i="71"/>
  <c r="G460" i="71"/>
  <c r="B308" i="71"/>
  <c r="C308" i="71" s="1"/>
  <c r="F469" i="71"/>
  <c r="X481" i="71"/>
  <c r="P308" i="71" s="1"/>
  <c r="U288" i="71"/>
  <c r="F7" i="92"/>
  <c r="B123" i="71"/>
  <c r="B286" i="71"/>
  <c r="B87" i="71"/>
  <c r="B271" i="71" s="1"/>
  <c r="I129" i="71"/>
  <c r="H83" i="71"/>
  <c r="U185" i="71"/>
  <c r="U187" i="71" s="1"/>
  <c r="J302" i="71"/>
  <c r="J301" i="71"/>
  <c r="R293" i="71"/>
  <c r="R472" i="71" s="1"/>
  <c r="R253" i="71"/>
  <c r="R254" i="71" s="1"/>
  <c r="R255" i="71"/>
  <c r="R257" i="71"/>
  <c r="R170" i="71"/>
  <c r="R172" i="71"/>
  <c r="R168" i="71"/>
  <c r="R169" i="71" s="1"/>
  <c r="R289" i="71"/>
  <c r="R470" i="71" s="1"/>
  <c r="U99" i="71"/>
  <c r="U101" i="71" s="1"/>
  <c r="S444" i="56"/>
  <c r="S445" i="56" s="1"/>
  <c r="S446" i="56"/>
  <c r="S448" i="56"/>
  <c r="U56" i="71"/>
  <c r="U58" i="71" s="1"/>
  <c r="S147" i="71"/>
  <c r="S165" i="71" s="1"/>
  <c r="S104" i="71"/>
  <c r="S61" i="71"/>
  <c r="S190" i="71"/>
  <c r="S208" i="71" s="1"/>
  <c r="S232" i="71"/>
  <c r="S250" i="71" s="1"/>
  <c r="U19" i="71"/>
  <c r="U442" i="56"/>
  <c r="Q177" i="71"/>
  <c r="Q274" i="71"/>
  <c r="Q175" i="71"/>
  <c r="Q176" i="71" s="1"/>
  <c r="U227" i="71"/>
  <c r="U229" i="71" s="1"/>
  <c r="T444" i="56"/>
  <c r="T445" i="56" s="1"/>
  <c r="T446" i="56"/>
  <c r="T448" i="56"/>
  <c r="U142" i="71"/>
  <c r="U144" i="71" s="1"/>
  <c r="T232" i="71"/>
  <c r="T250" i="71" s="1"/>
  <c r="T257" i="71" s="1"/>
  <c r="T147" i="71"/>
  <c r="T165" i="71" s="1"/>
  <c r="T190" i="71"/>
  <c r="T208" i="71" s="1"/>
  <c r="T215" i="71" s="1"/>
  <c r="T104" i="71"/>
  <c r="T61" i="71"/>
  <c r="Q218" i="71"/>
  <c r="Q219" i="71" s="1"/>
  <c r="Q220" i="71"/>
  <c r="Q276" i="71"/>
  <c r="Q463" i="71" s="1"/>
  <c r="R450" i="56"/>
  <c r="R451" i="56" s="1"/>
  <c r="R452" i="56"/>
  <c r="J303" i="71"/>
  <c r="Q262" i="71"/>
  <c r="Q260" i="71"/>
  <c r="Q261" i="71" s="1"/>
  <c r="Q278" i="71"/>
  <c r="Q464" i="71" s="1"/>
  <c r="R211" i="71"/>
  <c r="R212" i="71" s="1"/>
  <c r="R213" i="71"/>
  <c r="R291" i="71"/>
  <c r="R471" i="71" s="1"/>
  <c r="R215" i="71"/>
  <c r="I125" i="71"/>
  <c r="I126" i="71" s="1"/>
  <c r="I287" i="71"/>
  <c r="I469" i="71" s="1"/>
  <c r="I127" i="71"/>
  <c r="R216" i="71"/>
  <c r="R277" i="71" s="1"/>
  <c r="R292" i="71"/>
  <c r="T204" i="71"/>
  <c r="S209" i="71"/>
  <c r="H270" i="71"/>
  <c r="H89" i="71"/>
  <c r="H90" i="71" s="1"/>
  <c r="H91" i="71"/>
  <c r="J35" i="71"/>
  <c r="J122" i="71"/>
  <c r="J79" i="71"/>
  <c r="C301" i="71"/>
  <c r="C303" i="71"/>
  <c r="C302" i="71"/>
  <c r="H134" i="71"/>
  <c r="H132" i="71"/>
  <c r="H133" i="71" s="1"/>
  <c r="H272" i="71"/>
  <c r="I38" i="71"/>
  <c r="I39" i="71" s="1"/>
  <c r="I40" i="71"/>
  <c r="I42" i="71"/>
  <c r="I283" i="71"/>
  <c r="T173" i="71"/>
  <c r="T275" i="71" s="1"/>
  <c r="T290" i="71"/>
  <c r="S246" i="71"/>
  <c r="R251" i="71"/>
  <c r="R258" i="71" s="1"/>
  <c r="R279" i="71" s="1"/>
  <c r="H45" i="71"/>
  <c r="H46" i="71" s="1"/>
  <c r="H268" i="71"/>
  <c r="H47" i="71"/>
  <c r="I84" i="71"/>
  <c r="I82" i="71"/>
  <c r="I285" i="71"/>
  <c r="I468" i="71" s="1"/>
  <c r="I86" i="71"/>
  <c r="U173" i="71"/>
  <c r="U275" i="71" s="1"/>
  <c r="U290" i="71"/>
  <c r="U309" i="71"/>
  <c r="U310" i="71"/>
  <c r="U311" i="71"/>
  <c r="P311" i="71"/>
  <c r="P309" i="71"/>
  <c r="P310" i="71"/>
  <c r="Q462" i="71" l="1"/>
  <c r="H460" i="71"/>
  <c r="H461" i="71"/>
  <c r="U308" i="71"/>
  <c r="B130" i="71"/>
  <c r="B273" i="71" s="1"/>
  <c r="B288" i="71"/>
  <c r="H299" i="71"/>
  <c r="D299" i="71"/>
  <c r="L299" i="71"/>
  <c r="M299" i="71" s="1"/>
  <c r="P299" i="71"/>
  <c r="J129" i="71"/>
  <c r="I83" i="71"/>
  <c r="T276" i="71"/>
  <c r="T220" i="71"/>
  <c r="R220" i="71"/>
  <c r="R218" i="71"/>
  <c r="R219" i="71" s="1"/>
  <c r="R276" i="71"/>
  <c r="R463" i="71" s="1"/>
  <c r="U444" i="56"/>
  <c r="U445" i="56" s="1"/>
  <c r="U446" i="56"/>
  <c r="U448" i="56"/>
  <c r="S293" i="71"/>
  <c r="S472" i="71" s="1"/>
  <c r="S257" i="71"/>
  <c r="T260" i="71" s="1"/>
  <c r="T261" i="71" s="1"/>
  <c r="S255" i="71"/>
  <c r="S253" i="71"/>
  <c r="S254" i="71" s="1"/>
  <c r="S450" i="56"/>
  <c r="S451" i="56" s="1"/>
  <c r="S452" i="56"/>
  <c r="T293" i="71"/>
  <c r="T255" i="71"/>
  <c r="T253" i="71"/>
  <c r="T254" i="71" s="1"/>
  <c r="S215" i="71"/>
  <c r="S211" i="71"/>
  <c r="S212" i="71" s="1"/>
  <c r="S213" i="71"/>
  <c r="S291" i="71"/>
  <c r="S471" i="71" s="1"/>
  <c r="R274" i="71"/>
  <c r="R462" i="71" s="1"/>
  <c r="R175" i="71"/>
  <c r="R176" i="71" s="1"/>
  <c r="R177" i="71"/>
  <c r="U147" i="71"/>
  <c r="U165" i="71" s="1"/>
  <c r="U61" i="71"/>
  <c r="U104" i="71"/>
  <c r="U232" i="71"/>
  <c r="U250" i="71" s="1"/>
  <c r="U257" i="71" s="1"/>
  <c r="U190" i="71"/>
  <c r="U208" i="71" s="1"/>
  <c r="T213" i="71"/>
  <c r="T211" i="71"/>
  <c r="T212" i="71" s="1"/>
  <c r="T291" i="71"/>
  <c r="T262" i="71"/>
  <c r="T278" i="71"/>
  <c r="T450" i="56"/>
  <c r="T451" i="56" s="1"/>
  <c r="T452" i="56"/>
  <c r="R262" i="71"/>
  <c r="R260" i="71"/>
  <c r="R261" i="71" s="1"/>
  <c r="R278" i="71"/>
  <c r="R464" i="71" s="1"/>
  <c r="S289" i="71"/>
  <c r="S470" i="71" s="1"/>
  <c r="S168" i="71"/>
  <c r="S169" i="71" s="1"/>
  <c r="S170" i="71"/>
  <c r="S172" i="71"/>
  <c r="T289" i="71"/>
  <c r="T168" i="71"/>
  <c r="T169" i="71" s="1"/>
  <c r="T170" i="71"/>
  <c r="T172" i="71"/>
  <c r="P301" i="71"/>
  <c r="R309" i="71" s="1"/>
  <c r="S216" i="71"/>
  <c r="S277" i="71" s="1"/>
  <c r="S292" i="71"/>
  <c r="U204" i="71"/>
  <c r="U209" i="71" s="1"/>
  <c r="T209" i="71"/>
  <c r="J86" i="71"/>
  <c r="J285" i="71"/>
  <c r="J468" i="71" s="1"/>
  <c r="J84" i="71"/>
  <c r="J82" i="71"/>
  <c r="K35" i="71"/>
  <c r="K122" i="71"/>
  <c r="K79" i="71"/>
  <c r="I134" i="71"/>
  <c r="I132" i="71"/>
  <c r="I133" i="71" s="1"/>
  <c r="I272" i="71"/>
  <c r="I47" i="71"/>
  <c r="I45" i="71"/>
  <c r="I46" i="71" s="1"/>
  <c r="I268" i="71"/>
  <c r="I460" i="71" s="1"/>
  <c r="J127" i="71"/>
  <c r="J125" i="71"/>
  <c r="J126" i="71" s="1"/>
  <c r="J287" i="71"/>
  <c r="J469" i="71" s="1"/>
  <c r="T246" i="71"/>
  <c r="S251" i="71"/>
  <c r="S258" i="71" s="1"/>
  <c r="S279" i="71" s="1"/>
  <c r="I270" i="71"/>
  <c r="I89" i="71"/>
  <c r="I90" i="71" s="1"/>
  <c r="I91" i="71"/>
  <c r="J38" i="71"/>
  <c r="J39" i="71" s="1"/>
  <c r="J40" i="71"/>
  <c r="J42" i="71"/>
  <c r="J283" i="71"/>
  <c r="S309" i="71" l="1"/>
  <c r="T309" i="71"/>
  <c r="L300" i="71"/>
  <c r="M300" i="71" s="1"/>
  <c r="H300" i="71"/>
  <c r="P300" i="71"/>
  <c r="Q300" i="71" s="1"/>
  <c r="D300" i="71"/>
  <c r="E299" i="71"/>
  <c r="B299" i="71"/>
  <c r="C299" i="71" s="1"/>
  <c r="R307" i="71"/>
  <c r="T307" i="71" s="1"/>
  <c r="I299" i="71"/>
  <c r="K129" i="71"/>
  <c r="J83" i="71"/>
  <c r="T470" i="71"/>
  <c r="U278" i="71"/>
  <c r="U260" i="71"/>
  <c r="U261" i="71" s="1"/>
  <c r="T471" i="71"/>
  <c r="T472" i="71"/>
  <c r="S260" i="71"/>
  <c r="S261" i="71" s="1"/>
  <c r="S262" i="71"/>
  <c r="S278" i="71"/>
  <c r="S464" i="71" s="1"/>
  <c r="U450" i="56"/>
  <c r="U451" i="56" s="1"/>
  <c r="U452" i="56"/>
  <c r="S220" i="71"/>
  <c r="S276" i="71"/>
  <c r="S463" i="71" s="1"/>
  <c r="S218" i="71"/>
  <c r="S219" i="71" s="1"/>
  <c r="U211" i="71"/>
  <c r="U212" i="71" s="1"/>
  <c r="U291" i="71"/>
  <c r="U471" i="71" s="1"/>
  <c r="U213" i="71"/>
  <c r="U215" i="71"/>
  <c r="S175" i="71"/>
  <c r="S176" i="71" s="1"/>
  <c r="S274" i="71"/>
  <c r="S177" i="71"/>
  <c r="U293" i="71"/>
  <c r="U472" i="71" s="1"/>
  <c r="U255" i="71"/>
  <c r="U253" i="71"/>
  <c r="U254" i="71" s="1"/>
  <c r="U262" i="71"/>
  <c r="U168" i="71"/>
  <c r="U169" i="71" s="1"/>
  <c r="U170" i="71"/>
  <c r="U172" i="71"/>
  <c r="U289" i="71"/>
  <c r="U470" i="71" s="1"/>
  <c r="T218" i="71"/>
  <c r="T219" i="71" s="1"/>
  <c r="T274" i="71"/>
  <c r="T177" i="71"/>
  <c r="T175" i="71"/>
  <c r="T176" i="71" s="1"/>
  <c r="J270" i="71"/>
  <c r="J89" i="71"/>
  <c r="J90" i="71" s="1"/>
  <c r="J91" i="71"/>
  <c r="T292" i="71"/>
  <c r="T216" i="71"/>
  <c r="T277" i="71" s="1"/>
  <c r="U216" i="71"/>
  <c r="U277" i="71" s="1"/>
  <c r="U292" i="71"/>
  <c r="K86" i="71"/>
  <c r="K285" i="71"/>
  <c r="K468" i="71" s="1"/>
  <c r="K84" i="71"/>
  <c r="K82" i="71"/>
  <c r="U246" i="71"/>
  <c r="U251" i="71" s="1"/>
  <c r="U258" i="71" s="1"/>
  <c r="U279" i="71" s="1"/>
  <c r="T251" i="71"/>
  <c r="T258" i="71" s="1"/>
  <c r="T279" i="71" s="1"/>
  <c r="K127" i="71"/>
  <c r="K287" i="71"/>
  <c r="K469" i="71" s="1"/>
  <c r="K125" i="71"/>
  <c r="K126" i="71" s="1"/>
  <c r="L35" i="71"/>
  <c r="L122" i="71"/>
  <c r="L79" i="71"/>
  <c r="J134" i="71"/>
  <c r="J132" i="71"/>
  <c r="J133" i="71" s="1"/>
  <c r="J272" i="71"/>
  <c r="K38" i="71"/>
  <c r="K39" i="71" s="1"/>
  <c r="K283" i="71"/>
  <c r="K42" i="71"/>
  <c r="K40" i="71"/>
  <c r="J45" i="71"/>
  <c r="J46" i="71" s="1"/>
  <c r="J47" i="71"/>
  <c r="J268" i="71"/>
  <c r="J460" i="71" s="1"/>
  <c r="I461" i="71"/>
  <c r="Q299" i="71"/>
  <c r="Q301" i="71"/>
  <c r="S462" i="71" l="1"/>
  <c r="U464" i="71"/>
  <c r="H311" i="71"/>
  <c r="J461" i="71"/>
  <c r="E300" i="71"/>
  <c r="B300" i="71"/>
  <c r="C300" i="71" s="1"/>
  <c r="I300" i="71"/>
  <c r="R308" i="71"/>
  <c r="S307" i="71"/>
  <c r="U307" i="71"/>
  <c r="L129" i="71"/>
  <c r="K83" i="71"/>
  <c r="T462" i="71"/>
  <c r="U220" i="71"/>
  <c r="U218" i="71"/>
  <c r="U219" i="71" s="1"/>
  <c r="U276" i="71"/>
  <c r="U274" i="71"/>
  <c r="U462" i="71" s="1"/>
  <c r="U177" i="71"/>
  <c r="U175" i="71"/>
  <c r="U176" i="71" s="1"/>
  <c r="T464" i="71"/>
  <c r="T463" i="71"/>
  <c r="P302" i="71"/>
  <c r="P303" i="71"/>
  <c r="K270" i="71"/>
  <c r="D307" i="71" s="1"/>
  <c r="K91" i="71"/>
  <c r="K89" i="71"/>
  <c r="K90" i="71" s="1"/>
  <c r="L82" i="71"/>
  <c r="L84" i="71"/>
  <c r="L285" i="71"/>
  <c r="L468" i="71" s="1"/>
  <c r="L86" i="71"/>
  <c r="L38" i="71"/>
  <c r="L39" i="71" s="1"/>
  <c r="L42" i="71"/>
  <c r="L283" i="71"/>
  <c r="L40" i="71"/>
  <c r="K272" i="71"/>
  <c r="K132" i="71"/>
  <c r="K133" i="71" s="1"/>
  <c r="K134" i="71"/>
  <c r="K47" i="71"/>
  <c r="K268" i="71"/>
  <c r="D306" i="71" s="1"/>
  <c r="K45" i="71"/>
  <c r="K46" i="71" s="1"/>
  <c r="M35" i="71"/>
  <c r="M79" i="71"/>
  <c r="M122" i="71"/>
  <c r="L127" i="71"/>
  <c r="L287" i="71"/>
  <c r="L469" i="71" s="1"/>
  <c r="L125" i="71"/>
  <c r="L126" i="71" s="1"/>
  <c r="U463" i="71" l="1"/>
  <c r="H310" i="71"/>
  <c r="H309" i="71"/>
  <c r="E309" i="71"/>
  <c r="E310" i="71"/>
  <c r="E311" i="71"/>
  <c r="E307" i="71"/>
  <c r="F300" i="71"/>
  <c r="D308" i="71"/>
  <c r="E308" i="71" s="1"/>
  <c r="Q303" i="71"/>
  <c r="R311" i="71"/>
  <c r="Q302" i="71"/>
  <c r="R310" i="71"/>
  <c r="S308" i="71"/>
  <c r="T308" i="71"/>
  <c r="M129" i="71"/>
  <c r="L83" i="71"/>
  <c r="N301" i="71"/>
  <c r="M309" i="71" s="1"/>
  <c r="N302" i="71"/>
  <c r="M310" i="71" s="1"/>
  <c r="N303" i="71"/>
  <c r="M311" i="71" s="1"/>
  <c r="N122" i="71"/>
  <c r="N35" i="71"/>
  <c r="N79" i="71"/>
  <c r="M127" i="71"/>
  <c r="M125" i="71"/>
  <c r="M126" i="71" s="1"/>
  <c r="M287" i="71"/>
  <c r="M469" i="71" s="1"/>
  <c r="L47" i="71"/>
  <c r="L45" i="71"/>
  <c r="L46" i="71" s="1"/>
  <c r="L268" i="71"/>
  <c r="M84" i="71"/>
  <c r="M82" i="71"/>
  <c r="M285" i="71"/>
  <c r="M468" i="71" s="1"/>
  <c r="M86" i="71"/>
  <c r="L89" i="71"/>
  <c r="L90" i="71" s="1"/>
  <c r="L270" i="71"/>
  <c r="L91" i="71"/>
  <c r="M283" i="71"/>
  <c r="M42" i="71"/>
  <c r="M38" i="71"/>
  <c r="M39" i="71" s="1"/>
  <c r="M40" i="71"/>
  <c r="L132" i="71"/>
  <c r="L133" i="71" s="1"/>
  <c r="L272" i="71"/>
  <c r="L134" i="71"/>
  <c r="F298" i="71"/>
  <c r="K460" i="71"/>
  <c r="K461" i="71"/>
  <c r="F299" i="71"/>
  <c r="L460" i="71" l="1"/>
  <c r="L461" i="71"/>
  <c r="G8" i="92"/>
  <c r="O309" i="71"/>
  <c r="O311" i="71"/>
  <c r="G10" i="92"/>
  <c r="S310" i="71"/>
  <c r="T310" i="71"/>
  <c r="O310" i="71"/>
  <c r="G9" i="92"/>
  <c r="S311" i="71"/>
  <c r="T311" i="71"/>
  <c r="N129" i="71"/>
  <c r="M83" i="71"/>
  <c r="G300" i="71"/>
  <c r="G299" i="71"/>
  <c r="M45" i="71"/>
  <c r="M46" i="71" s="1"/>
  <c r="M268" i="71"/>
  <c r="M460" i="71" s="1"/>
  <c r="M47" i="71"/>
  <c r="M89" i="71"/>
  <c r="M90" i="71" s="1"/>
  <c r="M270" i="71"/>
  <c r="M461" i="71" s="1"/>
  <c r="M91" i="71"/>
  <c r="N283" i="71"/>
  <c r="N38" i="71"/>
  <c r="N39" i="71" s="1"/>
  <c r="N40" i="71"/>
  <c r="N42" i="71"/>
  <c r="M272" i="71"/>
  <c r="M134" i="71"/>
  <c r="M132" i="71"/>
  <c r="M133" i="71" s="1"/>
  <c r="N86" i="71"/>
  <c r="N82" i="71"/>
  <c r="N84" i="71"/>
  <c r="N285" i="71"/>
  <c r="N468" i="71" s="1"/>
  <c r="G301" i="71"/>
  <c r="G303" i="71"/>
  <c r="G302" i="71"/>
  <c r="N287" i="71"/>
  <c r="N469" i="71" s="1"/>
  <c r="N127" i="71"/>
  <c r="N125" i="71"/>
  <c r="N126" i="71" s="1"/>
  <c r="O35" i="71"/>
  <c r="O122" i="71"/>
  <c r="O79" i="71"/>
  <c r="O129" i="71" l="1"/>
  <c r="N83" i="71"/>
  <c r="N45" i="71"/>
  <c r="N46" i="71" s="1"/>
  <c r="N268" i="71"/>
  <c r="N460" i="71" s="1"/>
  <c r="N47" i="71"/>
  <c r="P35" i="71"/>
  <c r="P122" i="71"/>
  <c r="P79" i="71"/>
  <c r="O127" i="71"/>
  <c r="O287" i="71"/>
  <c r="O469" i="71" s="1"/>
  <c r="O125" i="71"/>
  <c r="O126" i="71" s="1"/>
  <c r="N134" i="71"/>
  <c r="N272" i="71"/>
  <c r="N132" i="71"/>
  <c r="N133" i="71" s="1"/>
  <c r="O285" i="71"/>
  <c r="O468" i="71" s="1"/>
  <c r="O86" i="71"/>
  <c r="O84" i="71"/>
  <c r="O82" i="71"/>
  <c r="N89" i="71"/>
  <c r="N90" i="71" s="1"/>
  <c r="N91" i="71"/>
  <c r="N270" i="71"/>
  <c r="N461" i="71" s="1"/>
  <c r="O38" i="71"/>
  <c r="O39" i="71" s="1"/>
  <c r="O42" i="71"/>
  <c r="O283" i="71"/>
  <c r="O40" i="71"/>
  <c r="P129" i="71" l="1"/>
  <c r="O83" i="71"/>
  <c r="O268" i="71"/>
  <c r="O460" i="71" s="1"/>
  <c r="O45" i="71"/>
  <c r="O46" i="71" s="1"/>
  <c r="O47" i="71"/>
  <c r="P82" i="71"/>
  <c r="P86" i="71"/>
  <c r="P84" i="71"/>
  <c r="P285" i="71"/>
  <c r="P468" i="71" s="1"/>
  <c r="Q35" i="71"/>
  <c r="Q122" i="71"/>
  <c r="Q79" i="71"/>
  <c r="P125" i="71"/>
  <c r="P126" i="71" s="1"/>
  <c r="P127" i="71"/>
  <c r="P287" i="71"/>
  <c r="P469" i="71" s="1"/>
  <c r="O91" i="71"/>
  <c r="O270" i="71"/>
  <c r="O461" i="71" s="1"/>
  <c r="O89" i="71"/>
  <c r="O90" i="71" s="1"/>
  <c r="O134" i="71"/>
  <c r="O272" i="71"/>
  <c r="O132" i="71"/>
  <c r="O133" i="71" s="1"/>
  <c r="P283" i="71"/>
  <c r="P42" i="71"/>
  <c r="P40" i="71"/>
  <c r="P38" i="71"/>
  <c r="P39" i="71" s="1"/>
  <c r="Q42" i="71" l="1"/>
  <c r="Q129" i="71"/>
  <c r="P83" i="71"/>
  <c r="R79" i="71"/>
  <c r="R122" i="71"/>
  <c r="R35" i="71"/>
  <c r="Q82" i="71"/>
  <c r="Q84" i="71"/>
  <c r="Q285" i="71"/>
  <c r="Q468" i="71" s="1"/>
  <c r="Q86" i="71"/>
  <c r="P47" i="71"/>
  <c r="P45" i="71"/>
  <c r="P46" i="71" s="1"/>
  <c r="P268" i="71"/>
  <c r="F306" i="71" s="1"/>
  <c r="Q40" i="71"/>
  <c r="Q38" i="71"/>
  <c r="Q39" i="71" s="1"/>
  <c r="Q283" i="71"/>
  <c r="P270" i="71"/>
  <c r="F307" i="71" s="1"/>
  <c r="P89" i="71"/>
  <c r="P90" i="71" s="1"/>
  <c r="P91" i="71"/>
  <c r="P132" i="71"/>
  <c r="P133" i="71" s="1"/>
  <c r="P134" i="71"/>
  <c r="P272" i="71"/>
  <c r="F308" i="71" s="1"/>
  <c r="Q127" i="71"/>
  <c r="Q287" i="71"/>
  <c r="Q469" i="71" s="1"/>
  <c r="Q125" i="71"/>
  <c r="Q126" i="71" s="1"/>
  <c r="G307" i="71" l="1"/>
  <c r="G309" i="71"/>
  <c r="G310" i="71"/>
  <c r="G311" i="71"/>
  <c r="G308" i="71"/>
  <c r="J300" i="71"/>
  <c r="R129" i="71"/>
  <c r="Q83" i="71"/>
  <c r="J298" i="71"/>
  <c r="P460" i="71"/>
  <c r="Q89" i="71"/>
  <c r="Q90" i="71" s="1"/>
  <c r="Q91" i="71"/>
  <c r="Q270" i="71"/>
  <c r="Q461" i="71" s="1"/>
  <c r="R42" i="71"/>
  <c r="R283" i="71"/>
  <c r="R38" i="71"/>
  <c r="R39" i="71" s="1"/>
  <c r="R40" i="71"/>
  <c r="S79" i="71"/>
  <c r="S35" i="71"/>
  <c r="S122" i="71"/>
  <c r="Q45" i="71"/>
  <c r="Q46" i="71" s="1"/>
  <c r="Q268" i="71"/>
  <c r="Q460" i="71" s="1"/>
  <c r="Q47" i="71"/>
  <c r="R125" i="71"/>
  <c r="R126" i="71" s="1"/>
  <c r="R127" i="71"/>
  <c r="R287" i="71"/>
  <c r="R469" i="71" s="1"/>
  <c r="Q134" i="71"/>
  <c r="Q272" i="71"/>
  <c r="Q132" i="71"/>
  <c r="Q133" i="71" s="1"/>
  <c r="P461" i="71"/>
  <c r="J299" i="71"/>
  <c r="R82" i="71"/>
  <c r="R86" i="71"/>
  <c r="R285" i="71"/>
  <c r="R468" i="71" s="1"/>
  <c r="R84" i="71"/>
  <c r="K300" i="71" l="1"/>
  <c r="S129" i="71"/>
  <c r="R83" i="71"/>
  <c r="S86" i="71"/>
  <c r="S84" i="71"/>
  <c r="S285" i="71"/>
  <c r="S468" i="71" s="1"/>
  <c r="S82" i="71"/>
  <c r="R134" i="71"/>
  <c r="R272" i="71"/>
  <c r="R132" i="71"/>
  <c r="R133" i="71" s="1"/>
  <c r="T122" i="71"/>
  <c r="T35" i="71"/>
  <c r="T79" i="71"/>
  <c r="S125" i="71"/>
  <c r="S126" i="71" s="1"/>
  <c r="S287" i="71"/>
  <c r="S469" i="71" s="1"/>
  <c r="S127" i="71"/>
  <c r="R45" i="71"/>
  <c r="R46" i="71" s="1"/>
  <c r="R47" i="71"/>
  <c r="R268" i="71"/>
  <c r="R460" i="71" s="1"/>
  <c r="R89" i="71"/>
  <c r="R90" i="71" s="1"/>
  <c r="R91" i="71"/>
  <c r="R270" i="71"/>
  <c r="R461" i="71" s="1"/>
  <c r="K299" i="71"/>
  <c r="S40" i="71"/>
  <c r="S38" i="71"/>
  <c r="S39" i="71" s="1"/>
  <c r="S283" i="71"/>
  <c r="S42" i="71"/>
  <c r="K301" i="71"/>
  <c r="K302" i="71"/>
  <c r="K303" i="71"/>
  <c r="T129" i="71" l="1"/>
  <c r="S83" i="71"/>
  <c r="T86" i="71"/>
  <c r="T285" i="71"/>
  <c r="T468" i="71" s="1"/>
  <c r="T84" i="71"/>
  <c r="T82" i="71"/>
  <c r="T42" i="71"/>
  <c r="T38" i="71"/>
  <c r="T39" i="71" s="1"/>
  <c r="T40" i="71"/>
  <c r="T283" i="71"/>
  <c r="U122" i="71"/>
  <c r="U35" i="71"/>
  <c r="U79" i="71"/>
  <c r="T127" i="71"/>
  <c r="T125" i="71"/>
  <c r="T126" i="71" s="1"/>
  <c r="T287" i="71"/>
  <c r="T469" i="71" s="1"/>
  <c r="S134" i="71"/>
  <c r="S132" i="71"/>
  <c r="S133" i="71" s="1"/>
  <c r="S272" i="71"/>
  <c r="S47" i="71"/>
  <c r="S45" i="71"/>
  <c r="S46" i="71" s="1"/>
  <c r="S268" i="71"/>
  <c r="S460" i="71" s="1"/>
  <c r="S91" i="71"/>
  <c r="S270" i="71"/>
  <c r="S461" i="71" s="1"/>
  <c r="S89" i="71"/>
  <c r="S90" i="71" s="1"/>
  <c r="U129" i="71" l="1"/>
  <c r="T83" i="71"/>
  <c r="U127" i="71"/>
  <c r="U287" i="71"/>
  <c r="U469" i="71" s="1"/>
  <c r="U125" i="71"/>
  <c r="U126" i="71" s="1"/>
  <c r="T272" i="71"/>
  <c r="T132" i="71"/>
  <c r="T133" i="71" s="1"/>
  <c r="T134" i="71"/>
  <c r="T45" i="71"/>
  <c r="T46" i="71" s="1"/>
  <c r="T268" i="71"/>
  <c r="T460" i="71" s="1"/>
  <c r="T47" i="71"/>
  <c r="U82" i="71"/>
  <c r="U86" i="71"/>
  <c r="U285" i="71"/>
  <c r="U468" i="71" s="1"/>
  <c r="U84" i="71"/>
  <c r="U40" i="71"/>
  <c r="U38" i="71"/>
  <c r="U39" i="71" s="1"/>
  <c r="U283" i="71"/>
  <c r="U42" i="71"/>
  <c r="T270" i="71"/>
  <c r="T461" i="71" s="1"/>
  <c r="T89" i="71"/>
  <c r="T90" i="71" s="1"/>
  <c r="T91" i="71"/>
  <c r="U83" i="71" l="1"/>
  <c r="U91" i="71"/>
  <c r="U270" i="71"/>
  <c r="U89" i="71"/>
  <c r="U90" i="71" s="1"/>
  <c r="U268" i="71"/>
  <c r="U45" i="71"/>
  <c r="U46" i="71" s="1"/>
  <c r="U47" i="71"/>
  <c r="U272" i="71"/>
  <c r="H308" i="71" s="1"/>
  <c r="U132" i="71"/>
  <c r="U133" i="71" s="1"/>
  <c r="U134" i="71"/>
  <c r="H307" i="71" l="1"/>
  <c r="N300" i="71"/>
  <c r="M308" i="71" s="1"/>
  <c r="O308" i="71" s="1"/>
  <c r="N298" i="71"/>
  <c r="M306" i="71" s="1"/>
  <c r="P306" i="71" s="1"/>
  <c r="H306" i="71"/>
  <c r="U460" i="71"/>
  <c r="N299" i="71"/>
  <c r="M307" i="71" s="1"/>
  <c r="P307" i="71" s="1"/>
  <c r="U461" i="71"/>
  <c r="I311" i="71" l="1"/>
  <c r="I310" i="71"/>
  <c r="I309" i="71"/>
  <c r="I308" i="71"/>
  <c r="I307" i="71"/>
  <c r="G7" i="92"/>
  <c r="N307" i="71"/>
  <c r="V307" i="71" s="1"/>
  <c r="O307" i="71"/>
  <c r="N308" i="71"/>
  <c r="V308" i="71" s="1"/>
  <c r="N310" i="71"/>
  <c r="V310" i="71" s="1"/>
  <c r="N311" i="71"/>
  <c r="V311" i="71" s="1"/>
  <c r="G6" i="92"/>
  <c r="O306" i="71"/>
  <c r="N309" i="71"/>
  <c r="V309" i="71" s="1"/>
  <c r="O299" i="71"/>
  <c r="O301" i="71"/>
  <c r="O303" i="71"/>
  <c r="O302" i="71"/>
  <c r="O300"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 Kelsey</author>
    <author>Ben O'Donnell</author>
    <author>Elizabeth Joyce</author>
    <author>Meg Waltner</author>
  </authors>
  <commentList>
    <comment ref="D10" authorId="0" shapeId="0" xr:uid="{00000000-0006-0000-0600-000001000000}">
      <text>
        <r>
          <rPr>
            <sz val="9"/>
            <color indexed="81"/>
            <rFont val="Tahoma"/>
            <family val="2"/>
          </rPr>
          <t>This ID must be unique</t>
        </r>
      </text>
    </comment>
    <comment ref="H10" authorId="1" shapeId="0" xr:uid="{00000000-0006-0000-0600-000002000000}">
      <text>
        <r>
          <rPr>
            <sz val="9"/>
            <color indexed="81"/>
            <rFont val="Tahoma"/>
            <family val="2"/>
          </rPr>
          <t>Equipment type (e.g. Heating Plant, Cooling Plant, Air Distribution, etc.)</t>
        </r>
      </text>
    </comment>
    <comment ref="I10" authorId="2" shapeId="0" xr:uid="{51736422-18B1-4209-B433-2CBFACEBAD23}">
      <text>
        <r>
          <rPr>
            <sz val="9"/>
            <color indexed="81"/>
            <rFont val="Tahoma"/>
            <family val="2"/>
          </rPr>
          <t>If tenants own or pay</t>
        </r>
        <r>
          <rPr>
            <b/>
            <sz val="9"/>
            <color indexed="81"/>
            <rFont val="Tahoma"/>
            <charset val="1"/>
          </rPr>
          <t xml:space="preserve"> </t>
        </r>
        <r>
          <rPr>
            <sz val="9"/>
            <color indexed="81"/>
            <rFont val="Tahoma"/>
            <family val="2"/>
          </rPr>
          <t>for operation of a given piece of equipment - and if tenants would pay for a replacement/retrofit.</t>
        </r>
      </text>
    </comment>
    <comment ref="K10" authorId="2" shapeId="0" xr:uid="{CB0392B3-7A83-41CD-AB41-5B2BBCC5A7AA}">
      <text>
        <r>
          <rPr>
            <sz val="9"/>
            <color indexed="81"/>
            <rFont val="Tahoma"/>
            <family val="2"/>
          </rPr>
          <t>i.</t>
        </r>
        <r>
          <rPr>
            <sz val="9"/>
            <color indexed="81"/>
            <rFont val="Tahoma"/>
            <family val="2"/>
          </rPr>
          <t>e. percentage of total electricity, gas, or other fuel consumed solely by that piece of equipment.</t>
        </r>
      </text>
    </comment>
    <comment ref="M10" authorId="2" shapeId="0" xr:uid="{4BE89E12-088D-4A31-AB40-D15F2B399014}">
      <text>
        <r>
          <rPr>
            <sz val="9"/>
            <color indexed="81"/>
            <rFont val="Tahoma"/>
            <family val="2"/>
          </rPr>
          <t>Select the typical daily demand / operating profile for this piece of equipment.</t>
        </r>
      </text>
    </comment>
    <comment ref="N10" authorId="2" shapeId="0" xr:uid="{5415A125-CFE3-4A4F-986D-4199E2165DEF}">
      <text>
        <r>
          <rPr>
            <sz val="9"/>
            <color indexed="81"/>
            <rFont val="Tahoma"/>
            <family val="2"/>
          </rPr>
          <t>Select the typical seasonal demand / usage profile for this piece of equipment.</t>
        </r>
      </text>
    </comment>
    <comment ref="AB10" authorId="3" shapeId="0" xr:uid="{00000000-0006-0000-0600-000006000000}">
      <text>
        <r>
          <rPr>
            <sz val="9"/>
            <color indexed="81"/>
            <rFont val="Tahoma"/>
            <family val="2"/>
          </rPr>
          <t>Percent (%) energy savings from replacement with minimum efficiency equipment. Can be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Meg Waltner</author>
    <author>tc={9C1C1EC6-FB95-4BDA-BF9D-5C41D2A33EAD}</author>
    <author>tc={09CC72C4-9264-482C-AF56-33E85FDE94CC}</author>
  </authors>
  <commentList>
    <comment ref="A25" authorId="0" shapeId="0" xr:uid="{00000000-0006-0000-0900-000001000000}">
      <text>
        <r>
          <rPr>
            <sz val="9"/>
            <color indexed="81"/>
            <rFont val="Tahoma"/>
            <family val="2"/>
          </rPr>
          <t xml:space="preserve">Auditor fills out alll ECMs in this initial list. </t>
        </r>
      </text>
    </comment>
    <comment ref="G26" authorId="1" shapeId="0" xr:uid="{9C1C1EC6-FB95-4BDA-BF9D-5C41D2A33EAD}">
      <text>
        <t>[Threaded comment]
Your version of Excel allows you to read this threaded comment; however, any edits to it will get removed if the file is opened in a newer version of Excel. Learn more: https://go.microsoft.com/fwlink/?linkid=870924
Comment:
    Absolute peak demand savings, not shifting.</t>
      </text>
    </comment>
    <comment ref="R26" authorId="2" shapeId="0" xr:uid="{09CC72C4-9264-482C-AF56-33E85FDE94CC}">
      <text>
        <t>[Threaded comment]
Your version of Excel allows you to read this threaded comment; however, any edits to it will get removed if the file is opened in a newer version of Excel. Learn more: https://go.microsoft.com/fwlink/?linkid=870924
Comment:
    Assumes a 85% power factor, which is typical for commercial buildings.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tc={34D1EDFD-7623-4F52-BBD7-92F562AA2F6E}</author>
    <author>tc={A041C5A3-7D61-4F75-BCE9-E8E1CD450F33}</author>
    <author>tc={D3960D00-CDAE-4C14-B6E8-D1E6A45FEA2A}</author>
  </authors>
  <commentList>
    <comment ref="A436" authorId="0" shapeId="0" xr:uid="{34D1EDFD-7623-4F52-BBD7-92F562AA2F6E}">
      <text>
        <t>[Threaded comment]
Your version of Excel allows you to read this threaded comment; however, any edits to it will get removed if the file is opened in a newer version of Excel. Learn more: https://go.microsoft.com/fwlink/?linkid=870924
Comment:
    No changes to this scenario</t>
      </text>
    </comment>
    <comment ref="A437" authorId="1" shapeId="0" xr:uid="{A041C5A3-7D61-4F75-BCE9-E8E1CD450F33}">
      <text>
        <t>[Threaded comment]
Your version of Excel allows you to read this threaded comment; however, any edits to it will get removed if the file is opened in a newer version of Excel. Learn more: https://go.microsoft.com/fwlink/?linkid=870924
Comment:
    No offsets in this scenario</t>
      </text>
    </comment>
    <comment ref="A438" authorId="2" shapeId="0" xr:uid="{D3960D00-CDAE-4C14-B6E8-D1E6A45FEA2A}">
      <text>
        <t>[Threaded comment]
Your version of Excel allows you to read this threaded comment; however, any edits to it will get removed if the file is opened in a newer version of Excel. Learn more: https://go.microsoft.com/fwlink/?linkid=870924
Comment:
    Offsets automatic in this scenario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tc={B9C251D7-BDEC-4B46-82B6-90F1524DB3E6}</author>
    <author>Sarah McDowell</author>
  </authors>
  <commentList>
    <comment ref="Q28" authorId="0" shapeId="0" xr:uid="{B9C251D7-BDEC-4B46-82B6-90F1524DB3E6}">
      <text>
        <t>[Threaded comment]
Your version of Excel allows you to read this threaded comment; however, any edits to it will get removed if the file is opened in a newer version of Excel. Learn more: https://go.microsoft.com/fwlink/?linkid=870924
Comment:
    just class A?</t>
      </text>
    </comment>
    <comment ref="L40" authorId="1" shapeId="0" xr:uid="{5BE54806-1F80-40D2-9904-02AF156B35B3}">
      <text>
        <r>
          <rPr>
            <b/>
            <sz val="9"/>
            <color indexed="81"/>
            <rFont val="Tahoma"/>
            <family val="2"/>
          </rPr>
          <t>Sarah McDowell:</t>
        </r>
        <r>
          <rPr>
            <sz val="9"/>
            <color indexed="81"/>
            <rFont val="Tahoma"/>
            <family val="2"/>
          </rPr>
          <t xml:space="preserve">
From NAA 2019 Research report
</t>
        </r>
      </text>
    </comment>
    <comment ref="M58" authorId="1" shapeId="0" xr:uid="{4783AB32-478B-45C4-AA82-12A4DC1C8536}">
      <text>
        <r>
          <rPr>
            <b/>
            <sz val="9"/>
            <color indexed="81"/>
            <rFont val="Tahoma"/>
            <family val="2"/>
          </rPr>
          <t>Sarah McDowell:</t>
        </r>
        <r>
          <rPr>
            <sz val="9"/>
            <color indexed="81"/>
            <rFont val="Tahoma"/>
            <family val="2"/>
          </rPr>
          <t xml:space="preserve">
calc'd based on avg unit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Jim Kelsey</author>
    <author>Meg Waltner</author>
  </authors>
  <commentList>
    <comment ref="A1" authorId="0" shapeId="0" xr:uid="{00000000-0006-0000-0C00-000001000000}">
      <text>
        <r>
          <rPr>
            <b/>
            <sz val="9"/>
            <color indexed="81"/>
            <rFont val="Tahoma"/>
            <family val="2"/>
          </rPr>
          <t>Jim Kelsey:</t>
        </r>
        <r>
          <rPr>
            <sz val="9"/>
            <color indexed="81"/>
            <rFont val="Tahoma"/>
            <family val="2"/>
          </rPr>
          <t xml:space="preserve">
This list from ENERGY STAR</t>
        </r>
      </text>
    </comment>
    <comment ref="J1" authorId="0" shapeId="0" xr:uid="{00000000-0006-0000-0C00-000002000000}">
      <text>
        <r>
          <rPr>
            <b/>
            <sz val="9"/>
            <color indexed="81"/>
            <rFont val="Tahoma"/>
            <family val="2"/>
          </rPr>
          <t>Jim Kelsey:</t>
        </r>
        <r>
          <rPr>
            <sz val="9"/>
            <color indexed="81"/>
            <rFont val="Tahoma"/>
            <family val="2"/>
          </rPr>
          <t xml:space="preserve">
Not yet implemented</t>
        </r>
      </text>
    </comment>
    <comment ref="K1" authorId="0" shapeId="0" xr:uid="{00000000-0006-0000-0C00-000003000000}">
      <text>
        <r>
          <rPr>
            <b/>
            <sz val="9"/>
            <color indexed="81"/>
            <rFont val="Tahoma"/>
            <family val="2"/>
          </rPr>
          <t>Jim Kelsey:</t>
        </r>
        <r>
          <rPr>
            <sz val="9"/>
            <color indexed="81"/>
            <rFont val="Tahoma"/>
            <family val="2"/>
          </rPr>
          <t xml:space="preserve">
This list consistent with ASHRAE Std 105</t>
        </r>
      </text>
    </comment>
    <comment ref="O1" authorId="0" shapeId="0" xr:uid="{00000000-0006-0000-0C00-000004000000}">
      <text>
        <r>
          <rPr>
            <b/>
            <sz val="9"/>
            <color indexed="81"/>
            <rFont val="Tahoma"/>
            <family val="2"/>
          </rPr>
          <t>Jim Kelsey:</t>
        </r>
        <r>
          <rPr>
            <sz val="9"/>
            <color indexed="81"/>
            <rFont val="Tahoma"/>
            <family val="2"/>
          </rPr>
          <t xml:space="preserve">
[compatible with DOE asset score, from BuildingSync enumerations]</t>
        </r>
      </text>
    </comment>
    <comment ref="AJ1" authorId="0" shapeId="0" xr:uid="{00000000-0006-0000-0C00-000005000000}">
      <text>
        <r>
          <rPr>
            <b/>
            <sz val="9"/>
            <color indexed="81"/>
            <rFont val="Tahoma"/>
            <family val="2"/>
          </rPr>
          <t>Jim Kelsey:</t>
        </r>
        <r>
          <rPr>
            <sz val="9"/>
            <color indexed="81"/>
            <rFont val="Tahoma"/>
            <family val="2"/>
          </rPr>
          <t xml:space="preserve">
From 5.4.4.1</t>
        </r>
      </text>
    </comment>
    <comment ref="BA1" authorId="1" shapeId="0" xr:uid="{00000000-0006-0000-0C00-000006000000}">
      <text>
        <r>
          <rPr>
            <b/>
            <sz val="9"/>
            <color indexed="81"/>
            <rFont val="Tahoma"/>
            <family val="2"/>
          </rPr>
          <t>Meg Waltner:</t>
        </r>
        <r>
          <rPr>
            <sz val="9"/>
            <color indexed="81"/>
            <rFont val="Tahoma"/>
            <family val="2"/>
          </rPr>
          <t xml:space="preserve">
Based on ASHRAE HVAC Applications 2015 handbook. Shoud be updated when new data is available.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<sst xmlns="http://schemas.openxmlformats.org/spreadsheetml/2006/main" count="2251" uniqueCount="1148">
  <si>
    <t>Note: This page summarizes key data by referencing other sections of the tool. If you wish to change those assumptions or inputs, please do so on those other pages, not here.</t>
  </si>
  <si>
    <t>Summary Comparison</t>
  </si>
  <si>
    <t>Alternative</t>
  </si>
  <si>
    <t>Annual Savings</t>
  </si>
  <si>
    <t>Total Cost</t>
  </si>
  <si>
    <t>CapEx</t>
  </si>
  <si>
    <t>OpEx</t>
  </si>
  <si>
    <t>NPV</t>
  </si>
  <si>
    <t>Simple Payback</t>
  </si>
  <si>
    <t>Year Asset Non-Compliant</t>
  </si>
  <si>
    <t xml:space="preserve">Building Financial Characteristics </t>
  </si>
  <si>
    <t>Building Initial Energy and Carbon Characteristics</t>
  </si>
  <si>
    <t>EEM Summary</t>
  </si>
  <si>
    <t>Annual Carbon Emissions</t>
  </si>
  <si>
    <t>tons CO2eq/year</t>
  </si>
  <si>
    <t>$</t>
  </si>
  <si>
    <t>$ x1000</t>
  </si>
  <si>
    <t>years</t>
  </si>
  <si>
    <t>Total Annual Energy Consumption</t>
  </si>
  <si>
    <t>kBtu/year</t>
  </si>
  <si>
    <t>On-Site Generation</t>
  </si>
  <si>
    <t>Initial Building EUI</t>
  </si>
  <si>
    <t>kBtu/SF-year</t>
  </si>
  <si>
    <t>Alternative 1</t>
  </si>
  <si>
    <t>Initial Electric Building EUI</t>
  </si>
  <si>
    <t>Alternative 2</t>
  </si>
  <si>
    <t>Initial Steam &amp; Other Fuels  EUI</t>
  </si>
  <si>
    <t>Alternative 3</t>
  </si>
  <si>
    <t>Initial Gas Building EUI</t>
  </si>
  <si>
    <t>Initial Energy Cost Index ECI</t>
  </si>
  <si>
    <t>$/SF-year</t>
  </si>
  <si>
    <t>NYSERDA EBC Program Metrics</t>
  </si>
  <si>
    <t>2-year</t>
  </si>
  <si>
    <t>20-year</t>
  </si>
  <si>
    <t>Avoided Carbon Cost</t>
  </si>
  <si>
    <t>Carbon Emissions Savings</t>
  </si>
  <si>
    <t>Fossil Fuels Savings</t>
  </si>
  <si>
    <t>EUI Savings</t>
  </si>
  <si>
    <t>Peak Demand Savings</t>
  </si>
  <si>
    <t>Building Financial Assumptions and Inputs</t>
  </si>
  <si>
    <t>LL97 and NYSERDA EBC Compliance Assumptions</t>
  </si>
  <si>
    <t>$/Ton</t>
  </si>
  <si>
    <t>tons CO2eq/yr</t>
  </si>
  <si>
    <t>MMBTU/yr</t>
  </si>
  <si>
    <t>%</t>
  </si>
  <si>
    <t>$/ton CO2eq</t>
  </si>
  <si>
    <t>SF/pp</t>
  </si>
  <si>
    <t>$/SF</t>
  </si>
  <si>
    <t>STRATEGIC DECARBONIZATION ASSESSMENT</t>
  </si>
  <si>
    <t>THIS TOOL HELPS CREATE DECISION SCENARIOS USING STANDARD FINANCIAL ANALYSIS</t>
  </si>
  <si>
    <t>The SDA Process: Data Collection and Engineering</t>
  </si>
  <si>
    <t>Step 1:</t>
  </si>
  <si>
    <t>Building Info &amp; Assumptions</t>
  </si>
  <si>
    <t>Enter information on the building's physical characteristics, financials, regulatory targets, energy use, and operating statement</t>
  </si>
  <si>
    <t>Step 2:</t>
  </si>
  <si>
    <t>Equipment Inventory</t>
  </si>
  <si>
    <t>Enter information on the existing building equipment and infrastructure</t>
  </si>
  <si>
    <t>Step 3:</t>
  </si>
  <si>
    <t>Narrative &amp; Measures</t>
  </si>
  <si>
    <t>Define alternatives and enter potential retrofit or operational measures needed to achieve the alternatives</t>
  </si>
  <si>
    <t>Step 4:</t>
  </si>
  <si>
    <t>Alternatives</t>
  </si>
  <si>
    <t xml:space="preserve">Plan out measures and implementation schedule for each alternative pathway defined </t>
  </si>
  <si>
    <t>Summary</t>
  </si>
  <si>
    <t>Provided summary of key building, efficiency measure and scenario information</t>
  </si>
  <si>
    <t>End Use Breakdown</t>
  </si>
  <si>
    <t>Provide end use energy estimates and verify the base case scenario</t>
  </si>
  <si>
    <t>Within these tabs, note the cell formats:</t>
  </si>
  <si>
    <t>user input</t>
  </si>
  <si>
    <t>calculated</t>
  </si>
  <si>
    <t>default value</t>
  </si>
  <si>
    <t>instructions</t>
  </si>
  <si>
    <t>Proceed through the tabs in this order, following the instructions at the top of each tab.</t>
  </si>
  <si>
    <r>
      <rPr>
        <b/>
        <sz val="11"/>
        <color theme="1"/>
        <rFont val="Calibri"/>
        <family val="2"/>
        <scheme val="minor"/>
      </rPr>
      <t>Instructions</t>
    </r>
    <r>
      <rPr>
        <sz val="11"/>
        <color theme="1"/>
        <rFont val="Calibri"/>
        <family val="2"/>
        <scheme val="minor"/>
      </rPr>
      <t>: This tab collects baseline information about the building's characteristics, finances, and energy use. Information input here is used to generate energy and financial performance outputs throughout the spreadsheet. Default values (orange) may be overwritten if building specific information is available.</t>
    </r>
  </si>
  <si>
    <t>Building Characteristics</t>
  </si>
  <si>
    <t>Building Name*</t>
  </si>
  <si>
    <t>EBC Typical Applicant Building</t>
  </si>
  <si>
    <t>User Input - Required, Important</t>
  </si>
  <si>
    <t>Building Owner</t>
  </si>
  <si>
    <t>NA</t>
  </si>
  <si>
    <t>User Input - Descriptor, Optional but Helpful</t>
  </si>
  <si>
    <t>Building Contact Person</t>
  </si>
  <si>
    <t>Street*</t>
  </si>
  <si>
    <t>City*</t>
  </si>
  <si>
    <t>New York</t>
  </si>
  <si>
    <t>State*</t>
  </si>
  <si>
    <t>NY</t>
  </si>
  <si>
    <t>Postal Code*</t>
  </si>
  <si>
    <t>Client Name</t>
  </si>
  <si>
    <t>Key Contacts</t>
  </si>
  <si>
    <t>Gross floor area*</t>
  </si>
  <si>
    <t>sq ft</t>
  </si>
  <si>
    <t>Total conditioned area (both heated and cooled)</t>
  </si>
  <si>
    <t>Conditioned area (heated only)</t>
  </si>
  <si>
    <t>Conditioned area (cooled only)</t>
  </si>
  <si>
    <t>Percent owned (%)</t>
  </si>
  <si>
    <t>Percent leased (%)</t>
  </si>
  <si>
    <t>Space Type</t>
  </si>
  <si>
    <t>Gross Floor Area</t>
  </si>
  <si>
    <t>B - Business (all others)</t>
  </si>
  <si>
    <t>M - Mercantile</t>
  </si>
  <si>
    <t>S - Storage</t>
  </si>
  <si>
    <t>U - Unity &amp; Miscellaneous</t>
  </si>
  <si>
    <t>Please Select Primary Building Type --&gt;</t>
  </si>
  <si>
    <t>Commercial/Other</t>
  </si>
  <si>
    <t>Energy Sources</t>
  </si>
  <si>
    <t>Energy Source</t>
  </si>
  <si>
    <t>SAID</t>
  </si>
  <si>
    <t>Type</t>
  </si>
  <si>
    <t>Rate schedule</t>
  </si>
  <si>
    <t>Electricity</t>
  </si>
  <si>
    <t>XXXX</t>
  </si>
  <si>
    <t>Master meter with sub-metering</t>
  </si>
  <si>
    <t>Natural gas</t>
  </si>
  <si>
    <t>Chilled Water</t>
  </si>
  <si>
    <t>Hot Water</t>
  </si>
  <si>
    <t>Fuel Oil</t>
  </si>
  <si>
    <t>Steam</t>
  </si>
  <si>
    <t>Direct metering</t>
  </si>
  <si>
    <t>Renewable Energy</t>
  </si>
  <si>
    <t>Other</t>
  </si>
  <si>
    <t xml:space="preserve">The rate structures under which energy is purchased shall be reported including the following: 
utility service classification, marginal rates, incremental block rate structures, 
demand components, ratchets, seasonal, time-of-use, real-time rates, 
penalties for reduced consumption, interruptible rates, taxes, fuel cost adjustments, and other surcharges. 
These need not be spelled out individually, but a statement shall be made confirming all such applicable taxes and adjustments have been factored into the energy rate computations.
</t>
  </si>
  <si>
    <t>Real Estate Characteristics</t>
  </si>
  <si>
    <t>Notes</t>
  </si>
  <si>
    <t>Expenses</t>
  </si>
  <si>
    <t>High</t>
  </si>
  <si>
    <t>Used to estimate building financial assumptions below.</t>
  </si>
  <si>
    <t>Holding Period (Years)</t>
  </si>
  <si>
    <t>Long</t>
  </si>
  <si>
    <t>Anticipated time before current owner sells property. Short = 0-5 years, Medium = 6-10 years, Long = 11+ years</t>
  </si>
  <si>
    <t>Assessed value from tax records</t>
  </si>
  <si>
    <t>Used to estimate taxes for fixed expenses</t>
  </si>
  <si>
    <t>Management Type</t>
  </si>
  <si>
    <t>3rd Party</t>
  </si>
  <si>
    <t>In-house or 3rd party? Is there a management fee to account for?</t>
  </si>
  <si>
    <t>Annual Rent</t>
  </si>
  <si>
    <t>Use actual if available or default based on NYC data values and property class</t>
  </si>
  <si>
    <t>Net Lettable Area, or Rentable SF</t>
  </si>
  <si>
    <t>Optional, use actual if known or calculated based on NYC data</t>
  </si>
  <si>
    <t>Annual Maintenance Costs</t>
  </si>
  <si>
    <t>Insert actual maintenance cost information here if known</t>
  </si>
  <si>
    <t>Annual Utility Costs</t>
  </si>
  <si>
    <t>Insert actual utility (energy) cost information here if known</t>
  </si>
  <si>
    <t>Other Annual Income</t>
  </si>
  <si>
    <t>Include other known sources of income; not required.</t>
  </si>
  <si>
    <t>Between 2-20 years. Note: Analysis period must be greater than or equal to holding period.</t>
  </si>
  <si>
    <t xml:space="preserve">Building Financial Assumptions </t>
  </si>
  <si>
    <t>Capitalization threshold</t>
  </si>
  <si>
    <t>Default assumptions -  update if better information is available</t>
  </si>
  <si>
    <t>Management Fee</t>
  </si>
  <si>
    <t>Assumptions scaled for property class - update if better information is available</t>
  </si>
  <si>
    <t>Discount Rate</t>
  </si>
  <si>
    <t>General estimate of management fee</t>
  </si>
  <si>
    <t>Rentable to Gross SF</t>
  </si>
  <si>
    <t>Avg SF/office tenant</t>
  </si>
  <si>
    <t>Avg sf per office worker</t>
  </si>
  <si>
    <t>Avg SF per maint worker</t>
  </si>
  <si>
    <t>Annual Vacancy rate</t>
  </si>
  <si>
    <t>Avg annual rent per SF</t>
  </si>
  <si>
    <t>$/sf</t>
  </si>
  <si>
    <t>Cleaning</t>
  </si>
  <si>
    <t>Repair / Maintenance</t>
  </si>
  <si>
    <t>Utility</t>
  </si>
  <si>
    <t>Security</t>
  </si>
  <si>
    <t>Administrative</t>
  </si>
  <si>
    <t>Fixed</t>
  </si>
  <si>
    <t>Parking</t>
  </si>
  <si>
    <t>General Costs Escalation Rate</t>
  </si>
  <si>
    <t>Cost Escalation Rate</t>
  </si>
  <si>
    <t>Electricity Cost Escalation Rate</t>
  </si>
  <si>
    <t>Natural Gas Cost Escalation Rate</t>
  </si>
  <si>
    <t>Purchased Steam Cost Escalation Rate</t>
  </si>
  <si>
    <t>Purchased Chilled Water Cost Escalation Rate</t>
  </si>
  <si>
    <t>Purchased Hot Water Cost Escalation Rate</t>
  </si>
  <si>
    <t>Fuel Oil Cost Escalation Rate</t>
  </si>
  <si>
    <t>Regulatory Assumptions</t>
  </si>
  <si>
    <t>Emissions Factors</t>
  </si>
  <si>
    <t>NYC LL97 / NYSERDA EBC Program Coefficients</t>
  </si>
  <si>
    <t>NYC LL97 GHG Coefficients for 2024-2029</t>
  </si>
  <si>
    <t>metric tons CO2eq/kBtu</t>
  </si>
  <si>
    <t>Utility Electricity</t>
  </si>
  <si>
    <t>kg CO2eq/kBtu</t>
  </si>
  <si>
    <t>Natural Gas</t>
  </si>
  <si>
    <t>District Steam</t>
  </si>
  <si>
    <t>#2 Fuel Oil</t>
  </si>
  <si>
    <t>#4 Fuel Oil</t>
  </si>
  <si>
    <t>tons CO2eq/kBtu</t>
  </si>
  <si>
    <t>Other Fuel Emissions Factor</t>
  </si>
  <si>
    <t>Emissions Limits and Fines</t>
  </si>
  <si>
    <t>LL97 Noncompliance Fine for 2024-2029</t>
  </si>
  <si>
    <t>$ / metric tons CO2eq</t>
  </si>
  <si>
    <t>NYC LL97 building emissions limits for 2024-2029</t>
  </si>
  <si>
    <t>NYC LL97 building emissions limits for 2030-2034</t>
  </si>
  <si>
    <t>A - Assembly</t>
  </si>
  <si>
    <t>metric tons CO2eq / GSF</t>
  </si>
  <si>
    <t>B - Business (civic admin, non-prod lab, ambulatory)</t>
  </si>
  <si>
    <t>E - Educational</t>
  </si>
  <si>
    <t>H - High Hazard</t>
  </si>
  <si>
    <t>I-1 - Institutional (assisted living and congregate)</t>
  </si>
  <si>
    <t>I-2 - Institutional (medical/nursing assisted living)</t>
  </si>
  <si>
    <t>I-3 - Institutional (correctional)</t>
  </si>
  <si>
    <t>I-4 - Institutional (day care)</t>
  </si>
  <si>
    <t>R-1 - Residential (hotel/motel)</t>
  </si>
  <si>
    <t>R-2 - Residential (apartment/dormitory)</t>
  </si>
  <si>
    <t>Applicant Building Emissions Limit 2024-2029</t>
  </si>
  <si>
    <t>tons CO2eq</t>
  </si>
  <si>
    <t>Applicant Building Emissions Limit 2030-2035</t>
  </si>
  <si>
    <t>Cost of Carbon Offsets</t>
  </si>
  <si>
    <t>Offsets Cost Escalation (Annual)</t>
  </si>
  <si>
    <t>% (negative indicates decreasing costs over time)</t>
  </si>
  <si>
    <t>Metered + Consumed Energy Use</t>
  </si>
  <si>
    <t>Building Name</t>
  </si>
  <si>
    <t>Guidance on the terms "Main Data for Analysis" and "Supporting Annual Use Data"</t>
  </si>
  <si>
    <t>Gross floor area</t>
  </si>
  <si>
    <r>
      <t>Main Data for Analysis</t>
    </r>
    <r>
      <rPr>
        <sz val="11"/>
        <color rgb="FF000000"/>
        <rFont val="Calibri"/>
        <family val="2"/>
        <scheme val="minor"/>
      </rPr>
      <t xml:space="preserve"> - Filling in these tables is mandatory, and the data in these tables will be referenced throughout the rest of the forms, such as the End Use Breakdown, Annual Summary, and QA/QC</t>
    </r>
  </si>
  <si>
    <t>Date</t>
  </si>
  <si>
    <t>Utility #1</t>
  </si>
  <si>
    <t>Utility #2</t>
  </si>
  <si>
    <r>
      <t>Supporting Annual Use Data</t>
    </r>
    <r>
      <rPr>
        <sz val="11"/>
        <color rgb="FF000000"/>
        <rFont val="Calibri"/>
        <family val="2"/>
        <scheme val="minor"/>
      </rPr>
      <t xml:space="preserve"> - Filling in these tables is only required if the auditor is using more than 12 months of consecutive data. This supporting data from historical energy use can be used to inform the Main Data for Analysis.</t>
    </r>
  </si>
  <si>
    <t>Utility #3</t>
  </si>
  <si>
    <t>Purchased Steam</t>
  </si>
  <si>
    <t>Utility #4</t>
  </si>
  <si>
    <t>Purchased Chilled Water</t>
  </si>
  <si>
    <t>Utility #5</t>
  </si>
  <si>
    <t>Purchased Hot Water</t>
  </si>
  <si>
    <t>Utility #6</t>
  </si>
  <si>
    <t>Utility #7</t>
  </si>
  <si>
    <t>Select Metered Energy Type</t>
  </si>
  <si>
    <t>Utility #8</t>
  </si>
  <si>
    <t>Utility #1 - Shall be Electricity if present at the site</t>
  </si>
  <si>
    <t>If sampling of meters was performed during utility analysis, describe methodology here:</t>
  </si>
  <si>
    <t>N/A</t>
  </si>
  <si>
    <t>Start Date</t>
  </si>
  <si>
    <t>End Date</t>
  </si>
  <si>
    <t>Days</t>
  </si>
  <si>
    <t>Annual Total</t>
  </si>
  <si>
    <t>N.B.: The tool will use custom rates if entered; if not, it will use blended rates per data entered under MAIN DATA FOR ANALYSIS.</t>
  </si>
  <si>
    <t>Utility #1: Definition</t>
  </si>
  <si>
    <t>Custom Electricity Rates</t>
  </si>
  <si>
    <t>Units</t>
  </si>
  <si>
    <t>Summer Rate $/kWh</t>
  </si>
  <si>
    <t>kBtu/unit</t>
  </si>
  <si>
    <t>Winter Rate $/kWh</t>
  </si>
  <si>
    <t>Blended Rate $/kWh</t>
  </si>
  <si>
    <t>Electricity Rate ($/kWh)</t>
  </si>
  <si>
    <t>Peak $/kWh</t>
  </si>
  <si>
    <t xml:space="preserve">Blend Demand Charge $/kW </t>
  </si>
  <si>
    <t>Partial-Peak $/kWh</t>
  </si>
  <si>
    <t>Off-Peak $/kWh</t>
  </si>
  <si>
    <t>Utility #2: Definition</t>
  </si>
  <si>
    <t>Blended Rate $/therm</t>
  </si>
  <si>
    <t>Utility #3: Definition</t>
  </si>
  <si>
    <t>Blended Rate $/lbs Steam</t>
  </si>
  <si>
    <t>Blended Rate $/gal</t>
  </si>
  <si>
    <t>Annual Energy Use and Financial Summary</t>
  </si>
  <si>
    <t xml:space="preserve">Instructions: This is an output section summarizing annual energy use and initial financial operating statement based on inputs in pre-visit data above. Enter any information on on-site generation here. </t>
  </si>
  <si>
    <t>Summary for Existing Building</t>
  </si>
  <si>
    <t>Imported Energy (Eimp)</t>
  </si>
  <si>
    <t>Energy Type</t>
  </si>
  <si>
    <t>Total Annual Use</t>
  </si>
  <si>
    <t>Conversion Multiplier</t>
  </si>
  <si>
    <t>Thousands BTU (kBtu)</t>
  </si>
  <si>
    <t>Total Annual Cost ($)</t>
  </si>
  <si>
    <t>kWh</t>
  </si>
  <si>
    <t>therms</t>
  </si>
  <si>
    <t>lbs District Steam</t>
  </si>
  <si>
    <t>MMBtu</t>
  </si>
  <si>
    <t>gallons (Fuel Oil #2)</t>
  </si>
  <si>
    <t>Propane</t>
  </si>
  <si>
    <t>gallons (Propane)</t>
  </si>
  <si>
    <t>Coal</t>
  </si>
  <si>
    <t>short ton (coal)</t>
  </si>
  <si>
    <t>Imported Total</t>
  </si>
  <si>
    <t>On-Site Renewable Energy Production (Eg)</t>
  </si>
  <si>
    <t>On-Site Generated - Thermal</t>
  </si>
  <si>
    <t>On-Site Generated - Electricity</t>
  </si>
  <si>
    <t>Generated Total</t>
  </si>
  <si>
    <t>Exported Energy (Eexp)</t>
  </si>
  <si>
    <t>Exported - Thermal</t>
  </si>
  <si>
    <t>Exported - Electricity</t>
  </si>
  <si>
    <t>Exported Total</t>
  </si>
  <si>
    <t>Site Energy Total</t>
  </si>
  <si>
    <t>[if applicable]</t>
  </si>
  <si>
    <t>Existing Building EUI/ECI</t>
  </si>
  <si>
    <t>Total Conditioned Square Feet</t>
  </si>
  <si>
    <t>EUI_Building (kBtu/sf/yr)</t>
  </si>
  <si>
    <t>EUI_Site (kBtu/sf/yr)</t>
  </si>
  <si>
    <t>EUI_Electric</t>
  </si>
  <si>
    <t>EUI_Gas</t>
  </si>
  <si>
    <t>EUI_Other</t>
  </si>
  <si>
    <t>Site ECI (energy cost index or $/sf/yr)</t>
  </si>
  <si>
    <t>Total Annual Emissions (Tons CO2eq)</t>
  </si>
  <si>
    <t>Blended Baseline Energy Escalation Rate</t>
  </si>
  <si>
    <t>Baseline Operating Budget - Does Not Include Cap Ex/Known Replacement</t>
  </si>
  <si>
    <t>Annual Non-Energy Operating Expenses - Benchmarks/References</t>
  </si>
  <si>
    <t>Rentable office SF</t>
  </si>
  <si>
    <t>RSF</t>
  </si>
  <si>
    <t>Gross annual rent</t>
  </si>
  <si>
    <t>$/yr expense</t>
  </si>
  <si>
    <t>Baseline Operating Budget</t>
  </si>
  <si>
    <t xml:space="preserve">This operating budget uses the inputs from the financial calcs tab but DOES NOT include any forecasted equipment replacement or ECMs. This is not the baseline condition, because it does not include known equipment replacements and deferred maintenance that will happen over the owner's holding period. </t>
  </si>
  <si>
    <t>Holding Period</t>
  </si>
  <si>
    <t>Pre-visit Operating Budget: Custom User Input (OPTIONAL). If no information provided by the user an estimated operating budget that is automatically generated below will be used in analysis.</t>
  </si>
  <si>
    <t>Potential Gross Rent</t>
  </si>
  <si>
    <t>Vacancy Allowance</t>
  </si>
  <si>
    <t>Other Income</t>
  </si>
  <si>
    <t>Effective Gross Income</t>
  </si>
  <si>
    <t>Operating Expenses</t>
  </si>
  <si>
    <t>All Other Operating Expenses</t>
  </si>
  <si>
    <t>Total Expenses</t>
  </si>
  <si>
    <t>Change in NOI</t>
  </si>
  <si>
    <t>Total change from Year 1</t>
  </si>
  <si>
    <t>Net Operating Income</t>
  </si>
  <si>
    <t>Pre-visit Operating Budget: Automatically generated estimations based on the benchmarks provided. If information is provided by the user above, the user-input operating budget will be used in analysis.</t>
  </si>
  <si>
    <t xml:space="preserve">   Management Fee (% of EGI)</t>
  </si>
  <si>
    <t>Utility - Energy Only</t>
  </si>
  <si>
    <r>
      <rPr>
        <b/>
        <sz val="11"/>
        <rFont val="Calibri"/>
        <family val="2"/>
        <scheme val="minor"/>
      </rPr>
      <t>Instructions:</t>
    </r>
    <r>
      <rPr>
        <sz val="11"/>
        <rFont val="Calibri"/>
        <family val="2"/>
        <scheme val="minor"/>
      </rPr>
      <t xml:space="preserve"> This equipment inventory forms the basis of the "Baseline" or "Business as Usual" forecast for your facility.
The equipment inventory below should include equipment that represents, in aggregate, 80% or more of the energy use allocated to HVAC and SHW/DHW in the end-use allocation. Also include major distribution components like piping or ductwork if they represent a significant baseline building maintenance expense.
Within each system type (e.g. space cooling, air distribution, etc) make a rough estimate of the percentage of energy use that that equipment represents (e.g. Chiller 1 is a reciprocating packaged chiller that represents 50% of space cooling energy use), its usage patterns, a rough estimate of replacement cost, and savings from a minimum efficiency replacement ("like-for-like"). Note cells in blue must be filled out; cells in grey are optional.
Data entered will also generate the pivot table and charts of estimated replacements by equipment remaining useful life.</t>
    </r>
  </si>
  <si>
    <r>
      <t xml:space="preserve">Instructions: </t>
    </r>
    <r>
      <rPr>
        <sz val="11"/>
        <color theme="1"/>
        <rFont val="Calibri"/>
        <family val="2"/>
        <scheme val="minor"/>
      </rPr>
      <t>Right click&gt;Refresh anywhere in the Pivot Table to update capital replacement plan</t>
    </r>
  </si>
  <si>
    <t>Row Labels</t>
  </si>
  <si>
    <t>Sum of Est Replacement Cost</t>
  </si>
  <si>
    <t>Sum of Energy Savings</t>
  </si>
  <si>
    <t>1 to 5</t>
  </si>
  <si>
    <t>HHWP-XX</t>
  </si>
  <si>
    <t>Equipment Identification</t>
  </si>
  <si>
    <t>Fuel Usage</t>
  </si>
  <si>
    <t>Demand</t>
  </si>
  <si>
    <t>Fuel Use Breakdown</t>
  </si>
  <si>
    <t>Carbon Used</t>
  </si>
  <si>
    <t>Equipment Upgrade Information</t>
  </si>
  <si>
    <t>Savings</t>
  </si>
  <si>
    <t>Upgrade Timeline</t>
  </si>
  <si>
    <t>HWP-XX</t>
  </si>
  <si>
    <t>System</t>
  </si>
  <si>
    <t>Item</t>
  </si>
  <si>
    <t>ID</t>
  </si>
  <si>
    <t>Description</t>
  </si>
  <si>
    <t>Location</t>
  </si>
  <si>
    <t>Area / System Served</t>
  </si>
  <si>
    <t>Tenants Own / Operate ?</t>
  </si>
  <si>
    <t>Fuel Source</t>
  </si>
  <si>
    <t>Estimated Percentage of Fuel Energy Use</t>
  </si>
  <si>
    <t>Estimated Peak Demand (kW)</t>
  </si>
  <si>
    <t>Daily Demand Profile</t>
  </si>
  <si>
    <t>Seasonal Demand Profile</t>
  </si>
  <si>
    <t>Estimated Annual Energy Use (kBTU)</t>
  </si>
  <si>
    <t>Estimated Annual Emissions (tons CO2eq)</t>
  </si>
  <si>
    <t>Approx Year Installed</t>
  </si>
  <si>
    <t>EUL (ASHRAE)</t>
  </si>
  <si>
    <t>Est Replacement Cost</t>
  </si>
  <si>
    <t>Energy Savings from Minimum Efficiency Replacement</t>
  </si>
  <si>
    <t>Energy Savings</t>
  </si>
  <si>
    <t>Estimated Emissions Reductions (tons CO2eq)</t>
  </si>
  <si>
    <t>Bins for Forecasting</t>
  </si>
  <si>
    <t>RUL (ASHRAE)</t>
  </si>
  <si>
    <t>HX-XX</t>
  </si>
  <si>
    <t>Bins</t>
  </si>
  <si>
    <t>Tenant  Annual Energy Use (kBTU)</t>
  </si>
  <si>
    <t>Owner  Annual Energy Use (kBTU)</t>
  </si>
  <si>
    <t>Tenant  Annual Carbon (tons CO2eq)</t>
  </si>
  <si>
    <t>Owner  Annual Carbon (tons CO2eq)</t>
  </si>
  <si>
    <t>Annual Energy Savings (kBTU)</t>
  </si>
  <si>
    <t>Annual Electricity Savings (kWh)</t>
  </si>
  <si>
    <t>Annual Demand Savings (kW)</t>
  </si>
  <si>
    <t xml:space="preserve">Annual Natual Gas Savings (therms) </t>
  </si>
  <si>
    <t>Annual Steam Savings (lbs District Steam)</t>
  </si>
  <si>
    <t>Annual Chilled Water Savings (kBtu)</t>
  </si>
  <si>
    <t>Annual  Hot Water Savings (kBtu)</t>
  </si>
  <si>
    <t>Annual Fuel Oil Savings (kBTU)</t>
  </si>
  <si>
    <t>Annual Cost Savings ($)</t>
  </si>
  <si>
    <t xml:space="preserve">Space Cooling </t>
  </si>
  <si>
    <t>Packaged Chiller - Centrifugal</t>
  </si>
  <si>
    <t>CH-XX</t>
  </si>
  <si>
    <t>6000 tons of Centrifugal Water-Cooled Chillers</t>
  </si>
  <si>
    <t>Basement</t>
  </si>
  <si>
    <t>All</t>
  </si>
  <si>
    <t>Cooling Plant</t>
  </si>
  <si>
    <t>No</t>
  </si>
  <si>
    <t>Afternoon Weekday Peak</t>
  </si>
  <si>
    <t>Summer Peak</t>
  </si>
  <si>
    <t>Water Distribution</t>
  </si>
  <si>
    <t>Pump - Base-mounted</t>
  </si>
  <si>
    <t>CHWP-XX</t>
  </si>
  <si>
    <t>Primary &amp; secondary chilled water pumps, 600hp</t>
  </si>
  <si>
    <t>(blank)</t>
  </si>
  <si>
    <t>6 to 10</t>
  </si>
  <si>
    <t>Cooling Tower - Galvanized Metal</t>
  </si>
  <si>
    <t>CT-XX</t>
  </si>
  <si>
    <t>6000 tons of Cooling Towers</t>
  </si>
  <si>
    <t>Roof</t>
  </si>
  <si>
    <t>Chillers</t>
  </si>
  <si>
    <t>11 to 15</t>
  </si>
  <si>
    <t>CWP-XX</t>
  </si>
  <si>
    <t>Condenser water pumps, 350hp</t>
  </si>
  <si>
    <t>AHU-XX</t>
  </si>
  <si>
    <t>16+</t>
  </si>
  <si>
    <t>Air Distribution</t>
  </si>
  <si>
    <t>AC Water Cooled Package Unit</t>
  </si>
  <si>
    <t>Floor by floor AHUs with CHW and HHW coils</t>
  </si>
  <si>
    <t>Each floor</t>
  </si>
  <si>
    <t>Tenant floors</t>
  </si>
  <si>
    <t>Yes</t>
  </si>
  <si>
    <t>Midday Weekday Peak</t>
  </si>
  <si>
    <t>Constant Demand</t>
  </si>
  <si>
    <t>B-XX</t>
  </si>
  <si>
    <t xml:space="preserve">Lighting </t>
  </si>
  <si>
    <t>Floor by floor lighting loads</t>
  </si>
  <si>
    <t>Lighting</t>
  </si>
  <si>
    <t>Plug Loads</t>
  </si>
  <si>
    <t>Floor by floor plug loads</t>
  </si>
  <si>
    <t>Plugs</t>
  </si>
  <si>
    <t xml:space="preserve">Space Heating </t>
  </si>
  <si>
    <t xml:space="preserve">Electric Coils </t>
  </si>
  <si>
    <t>VAV-XX</t>
  </si>
  <si>
    <t>Floor by floor perimeter VAV-RH boxes with electric &amp; HHW coils</t>
  </si>
  <si>
    <t>Tenant floors perimeters</t>
  </si>
  <si>
    <t>Heating Plant</t>
  </si>
  <si>
    <t>Morning Weekday Peak</t>
  </si>
  <si>
    <t>Winter Peak</t>
  </si>
  <si>
    <t>Pump - Pipe-mounted</t>
  </si>
  <si>
    <t>Heating hot water distribution pumps, 400 hp</t>
  </si>
  <si>
    <t>Domestic hot water distribution pumps, 250hp</t>
  </si>
  <si>
    <t>DHW/SHW</t>
  </si>
  <si>
    <t>Heat Exhanger (Shell and Tube)</t>
  </si>
  <si>
    <t>Steam to HHW/DHW HX's, 25 MMBH</t>
  </si>
  <si>
    <t>Heating Plant + DHW/SHW</t>
  </si>
  <si>
    <t>SHW/DHW</t>
  </si>
  <si>
    <t>Boiler - electric</t>
  </si>
  <si>
    <t>Electric coils for DHW tank top-up</t>
  </si>
  <si>
    <t>Grand Total</t>
  </si>
  <si>
    <t xml:space="preserve">Instructions: This tab is the input for the alternatives and operating statements generated in the following tab. Follow instructions for each step below. </t>
  </si>
  <si>
    <t>Level 2 Audit -  Energy Efficiency Measure Generation</t>
  </si>
  <si>
    <t xml:space="preserve">Define the preferred path(s) forward for the property following the guidance below. 
The baseline is automatically generated, but can be modified to accurately reflect the likely trajectory for the building over the owner's holding period. The alternatives are intended to represent "better" or more proactive paths forward than the baseline over the building's holding period. 
Space is provided for up to three alternatives, but fewer or more alternatives may be created depending on the project. </t>
  </si>
  <si>
    <t>alternative Name</t>
  </si>
  <si>
    <t>Narrative Description</t>
  </si>
  <si>
    <t>Baseline - Reactive Fines</t>
  </si>
  <si>
    <t xml:space="preserve">This alternative represents a "Business As Usual" alternative, and assumes no compliance with emissions mandates, e.g. payment of fines associated with carbon emissions.
This alternative only assumes ongoing maintenance, treatment of any emergency or life safety items, and equipment replacement only at end-of-life with marginally more efficient equipment. Equipment remaining using life is as dictated by the Equipment Inventory. </t>
  </si>
  <si>
    <t>Baseline - Offset Based Compliance</t>
  </si>
  <si>
    <t xml:space="preserve">This alternative represents a "Business As Usual" alternative, and assumes compliance with emissions mandates entirely through purchase of carbon offsets.
This alternative only assumes ongoing maintenance, treatment of any emergency or life safety items, and equipment replacement only at end-of-life with marginally more efficient equipment. Equipment remaining using life is as dictated by the Equipment Inventory. </t>
  </si>
  <si>
    <r>
      <t xml:space="preserve">ECM Alternative 1 - Preferred Path Forward
</t>
    </r>
    <r>
      <rPr>
        <sz val="11"/>
        <rFont val="Calibri"/>
        <family val="2"/>
        <scheme val="minor"/>
      </rPr>
      <t>ECM alternative 1 should represent the ideal path forward for the building, considering upcoming equipment replacement timelines, inadequate system performance, and deferred maintenance. This alternative should prioritize measures that reduce loads before equipment replacement to capture full potential cost reductions. Consider this alternative the "ideal" path forward over the owner's holding period.</t>
    </r>
  </si>
  <si>
    <r>
      <rPr>
        <b/>
        <sz val="11"/>
        <rFont val="Calibri"/>
        <family val="2"/>
        <scheme val="minor"/>
      </rPr>
      <t xml:space="preserve">Phased Efficient Electrification with Enabling Tenant and Distribution Upgrades - </t>
    </r>
    <r>
      <rPr>
        <sz val="11"/>
        <rFont val="Calibri"/>
        <family val="2"/>
        <scheme val="minor"/>
      </rPr>
      <t xml:space="preserve">
This option replaces with efficient heat pump options for heating and cooling, while also retaining some electric resistance heating for top-up and backup. Steam is retained for backup. Tenant side efficiency measures, and heat recovery technologies, reduce overall plant size.
Cooling: Partial replacement of centrifugal chillers with highly efficient at end of useful life. Add heat recovery chillers to take advantage of simultaneous heating and cooling. 
Heating/DHW: Provide heating hot water by replacing steam heat exchanger with central air-source heat pump chillers for heating and cooling. Supplement heating with electric boilers for top-up to required temperature for hot water coils (180F). Add heat pump water heating to existing domestic hot water storage tanks.
Distribution: Over time, upgrade existing tenant HHW coils to lower-temperature (140F) to permit increased use of heat pump-only hot water - as an "enabling measure".</t>
    </r>
  </si>
  <si>
    <r>
      <t xml:space="preserve">ECM Alternative 2 - Alternate Path Forward
</t>
    </r>
    <r>
      <rPr>
        <sz val="11"/>
        <rFont val="Calibri"/>
        <family val="2"/>
        <scheme val="minor"/>
      </rPr>
      <t>This is meant to represent an alternate path forward to meet the building's goals, as defined by the user.</t>
    </r>
  </si>
  <si>
    <r>
      <rPr>
        <b/>
        <sz val="11"/>
        <color theme="1"/>
        <rFont val="Calibri"/>
        <family val="2"/>
        <scheme val="minor"/>
      </rPr>
      <t xml:space="preserve">Phased Basic Electrification with Basic Efficiency Upgrades and Tenant Participation - </t>
    </r>
    <r>
      <rPr>
        <sz val="11"/>
        <color theme="1"/>
        <rFont val="Calibri"/>
        <family val="2"/>
        <scheme val="minor"/>
      </rPr>
      <t xml:space="preserve">
This option replaces with less efficient but cheaper electric options for heating and basic cooling. Steam is retained for backup. Some basic efficiency measures, and heat recovery technologies, reduce overall plant size.
Cooling: Partial replacement of centrifugal chillers with highly efficient at end of useful life. Add heat recovery chillers to take advantage of simultaneous heating and cooling. 
Heating/DHW: Provide heating hot water by replacing steam heat exchanger with electric boilers at required temperature for hot water coils (180F). Add heat pump water heating to existing domestic hot water storage tanks.
Distribution: Basic efficiency measures. No HHW coil conversion.</t>
    </r>
  </si>
  <si>
    <r>
      <t xml:space="preserve">ECM Alternative 3 -  Alternate Path Forward
</t>
    </r>
    <r>
      <rPr>
        <sz val="11"/>
        <rFont val="Calibri"/>
        <family val="2"/>
        <scheme val="minor"/>
      </rPr>
      <t>This is meant to represent an alternate path forward to meet the building's goals, as defined by the user.</t>
    </r>
  </si>
  <si>
    <r>
      <rPr>
        <b/>
        <sz val="11"/>
        <color theme="1"/>
        <rFont val="Calibri"/>
        <family val="2"/>
        <scheme val="minor"/>
      </rPr>
      <t xml:space="preserve">Cheapest Electrification with Limited Efficiency Upgrades and Limited Tenant Participation - </t>
    </r>
    <r>
      <rPr>
        <sz val="11"/>
        <color theme="1"/>
        <rFont val="Calibri"/>
        <family val="2"/>
        <scheme val="minor"/>
      </rPr>
      <t xml:space="preserve">
This option replaces with less efficient but cheapest electric options for heating and basic cooling. Steam is retained for backup. Some basic efficiency measures implemented if cost-effective.
Cooling: Partial replacement of centrifugal chillers with highly efficient at end of useful life. Add heat recovery chillers to take advantage of simultaneous heating and cooling. 
Heating/DHW: Provide heating hot water by replacing steam heat exchanger with electric boilers at required temperature for hot water coils (180F). Add electric resistance water heaters to existing domestic hot water storage tanks.
Distribution: Basic efficiency measures. No HHW coil conversion.</t>
    </r>
    <r>
      <rPr>
        <sz val="11"/>
        <color theme="1"/>
        <rFont val="Calibri"/>
        <family val="2"/>
        <scheme val="minor"/>
      </rPr>
      <t xml:space="preserve">
Rely on carbon offsets to achieve compliance.</t>
    </r>
  </si>
  <si>
    <t xml:space="preserve">Enter retrofit measures needed to achieve the alternatives above, including costs and savings, into this table. Include duplicative measures here if applicable (e.g. multiple levels of efficiency for chiller replacement). 
For repeating or phased measures, such as annual retrocommissioning or a multi-year phased installation, these can be entered in two ways: (1) as a single measure selected multiple times with varying years of implementation as selected under column "Year this ECM is implemented" in the "Alternatives" tab; or (2) as incurring an annual operating cost (see column "Non-Energy Annual Cost Savings including O&amp;M Costs"), as opposed to a Capex ("Measure Capital Cost").
Note options to include proactive carbon offsets, renewable power generation, and load shifting measures. 
Include immediate repair and deferred maintenance measures. These measures will be used as options to generate the baseline and alternate alternatives under tab "alternatives". </t>
  </si>
  <si>
    <t>Yearly Cash Flow for ECM (includes non energy)</t>
  </si>
  <si>
    <t>Measure Description</t>
  </si>
  <si>
    <t>Annual Impact on Operating Costs</t>
  </si>
  <si>
    <t>Financial Metrics</t>
  </si>
  <si>
    <t>Includes escalation but not yet discounted (done at the end)</t>
  </si>
  <si>
    <t>Additional Energy Metrics</t>
  </si>
  <si>
    <t>Blended</t>
  </si>
  <si>
    <t>Detailed Profile</t>
  </si>
  <si>
    <t>ECM Category</t>
  </si>
  <si>
    <t>Total Cost Savings</t>
  </si>
  <si>
    <t>Energy Cost Savings - Blended</t>
  </si>
  <si>
    <t>Energy Cost Savings - Detailed Profile</t>
  </si>
  <si>
    <t>Non-energy Annual Cost Savings including O&amp;M costs</t>
  </si>
  <si>
    <t>Peak Demand Savings (kW)</t>
  </si>
  <si>
    <t>Daily Savings Profile</t>
  </si>
  <si>
    <t>Seasonal Savings Profile</t>
  </si>
  <si>
    <t>Carbon Emission [tons CO2eq] Savings</t>
  </si>
  <si>
    <t>Measure Capital Cost</t>
  </si>
  <si>
    <t>Additional kVA</t>
  </si>
  <si>
    <t>One-Time Rebates and Incentives</t>
  </si>
  <si>
    <t>Measure Life 
(years)</t>
  </si>
  <si>
    <t>Net Measure First Cost</t>
  </si>
  <si>
    <t>LCC</t>
  </si>
  <si>
    <t>Simple Payback (yr)</t>
  </si>
  <si>
    <t>Total EUI Savings</t>
  </si>
  <si>
    <t>Value of kWh Savings</t>
  </si>
  <si>
    <t>Value of kW savings</t>
  </si>
  <si>
    <t>Value of Consumption</t>
  </si>
  <si>
    <t>Value of Demand</t>
  </si>
  <si>
    <t>Baseline Start</t>
  </si>
  <si>
    <t>Scen 1 Start</t>
  </si>
  <si>
    <t>Scen 2 Start</t>
  </si>
  <si>
    <t>Scen 3 Start</t>
  </si>
  <si>
    <t>Scen 1</t>
  </si>
  <si>
    <t>Scen 2</t>
  </si>
  <si>
    <t>Scen 3</t>
  </si>
  <si>
    <t>Baseline End</t>
  </si>
  <si>
    <t>Scen 1 End</t>
  </si>
  <si>
    <t>Scen 2 End</t>
  </si>
  <si>
    <t>Scen 3 End</t>
  </si>
  <si>
    <t>Baseline Tenant</t>
  </si>
  <si>
    <t>Scen 1 Tenant</t>
  </si>
  <si>
    <t>Scen 2 Tenant</t>
  </si>
  <si>
    <t>Scen 3 Tenant</t>
  </si>
  <si>
    <t>Hidden columns include miscellaneous supporting calculations. Do not edit.</t>
  </si>
  <si>
    <t>kBtu/SF</t>
  </si>
  <si>
    <t>$/Yr</t>
  </si>
  <si>
    <t>Yr</t>
  </si>
  <si>
    <t>yr+eul</t>
  </si>
  <si>
    <t>Replace 6000 tons of centrifugal chillers with highly efficient</t>
  </si>
  <si>
    <t>Standard ECM</t>
  </si>
  <si>
    <t>Partial 2000 tons replacement of centrifugal chillers (w/other measures)</t>
  </si>
  <si>
    <t>Add 2000 tons heat recovery chillers to enable simultaneous heating and cooling</t>
  </si>
  <si>
    <t>Heat pump boilers / chillers for HHW (20 MMBH)</t>
  </si>
  <si>
    <t>Electric boilers for HHW top-up 140F to 180F (5 MMBH)</t>
  </si>
  <si>
    <t>Electric boilers for primary HHW delivery (20 MMBH)</t>
  </si>
  <si>
    <t>Tenant AHU and VAV-RH box HHW coil replacement for 140F</t>
  </si>
  <si>
    <t>Tenant HVAC controls to improve distribution delivery</t>
  </si>
  <si>
    <t>Heat pump water heaters for DHW/SHW (5 MMBH)</t>
  </si>
  <si>
    <t>Electric coil water heaters for DHW/SHW (5 MMBH)</t>
  </si>
  <si>
    <t>Improved pumping controls for CHW, CW, and HHW</t>
  </si>
  <si>
    <t>Annual RCx/ tuneup program for tenant AHUs and VAV-RH boxes</t>
  </si>
  <si>
    <t xml:space="preserve">TOTALS </t>
  </si>
  <si>
    <t>Blended Fuel Rates</t>
  </si>
  <si>
    <t>Annual Blended Electricity Rate</t>
  </si>
  <si>
    <t>/kWh</t>
  </si>
  <si>
    <t>Average Electricity-Only Rate</t>
  </si>
  <si>
    <t>Peak Demand Charge</t>
  </si>
  <si>
    <t>/kW</t>
  </si>
  <si>
    <t>Instructions: 
Select measures and year of implementation for each of your preferred/alternative scenarios below, as defined under Tab "Narrative and Measures". 
Select whether the measure costs and utility savings will be passed through to tenants, or held by the owner/manager.
Toggle whether you want to add proactive offsets for your scenarios. If you toggle "Yes", the calculation will automatically add carbon offsets to your scenario in order to meet LL97 targets.
The reactive baseline and capital replacement plan scenarios (both with reactive fines and offsets) are automatically generated. Graphs show financial performance of each scenario.
Take care to note what time horizons are relevant to the building. Confirm that the NPV period of analysis is within the stated holding period, and adjust the NPV period and interpolate between results as necessary to reflect the holding period.</t>
  </si>
  <si>
    <t>Scenario Analysis and Financial Comparisons</t>
  </si>
  <si>
    <t xml:space="preserve">  NPV Analysis Time Period (years)</t>
  </si>
  <si>
    <t>`</t>
  </si>
  <si>
    <t xml:space="preserve">  Year Analysis Begins</t>
  </si>
  <si>
    <t xml:space="preserve">  Holding Period (years)</t>
  </si>
  <si>
    <t>The user should select an NPV that reflects the asset holding period. Adjust the period and interpolate between results as necessary.</t>
  </si>
  <si>
    <t xml:space="preserve"> Immediate Repairs and Deferred Maintenance</t>
  </si>
  <si>
    <t>Costs &amp; Savings Pass to Tenants</t>
  </si>
  <si>
    <t>Year implemented
[1, 2 …]</t>
  </si>
  <si>
    <t>IR</t>
  </si>
  <si>
    <t>Immediate Repairs: Life Safety and Critical</t>
  </si>
  <si>
    <t>DM</t>
  </si>
  <si>
    <t>Deferred Maintenance</t>
  </si>
  <si>
    <t>Equipment Replacement Needs (Like with Like)</t>
  </si>
  <si>
    <t>Equipment with &lt;5 years RUL</t>
  </si>
  <si>
    <t>Equipment with 6-10 years RUL</t>
  </si>
  <si>
    <t>Equipment with11-15 years RUL</t>
  </si>
  <si>
    <t>Equipment with &gt;16 years RUL</t>
  </si>
  <si>
    <t>LL97 Compliance</t>
  </si>
  <si>
    <t>Fines</t>
  </si>
  <si>
    <t>Fines at Baseline Performance</t>
  </si>
  <si>
    <t>TOTAL</t>
  </si>
  <si>
    <t>Offsets</t>
  </si>
  <si>
    <t>Offset Remainder of Carbon to Meet Benchmark</t>
  </si>
  <si>
    <t>Alternative #1 Description</t>
  </si>
  <si>
    <t>Year this ECM is implemented
[1, 2 …]</t>
  </si>
  <si>
    <t>ECM 1</t>
  </si>
  <si>
    <t>ECM 2</t>
  </si>
  <si>
    <t>ECM 3</t>
  </si>
  <si>
    <t>ECM 4</t>
  </si>
  <si>
    <t>ECM 5</t>
  </si>
  <si>
    <t>ECM 6</t>
  </si>
  <si>
    <t>ECM 7</t>
  </si>
  <si>
    <t>ECM 8</t>
  </si>
  <si>
    <t>ECM 9</t>
  </si>
  <si>
    <t>ECM 10</t>
  </si>
  <si>
    <t>ECM 11</t>
  </si>
  <si>
    <t>ECM 12</t>
  </si>
  <si>
    <t>ECM 13</t>
  </si>
  <si>
    <t>ECM 14</t>
  </si>
  <si>
    <t>ECM 15</t>
  </si>
  <si>
    <t>ECM 16</t>
  </si>
  <si>
    <t>ECM 17</t>
  </si>
  <si>
    <t>ECM 18</t>
  </si>
  <si>
    <t>ECM 19</t>
  </si>
  <si>
    <t>ECM 20</t>
  </si>
  <si>
    <t>Offset Remainder of Carbon to Meet Benchmark?</t>
  </si>
  <si>
    <t>-</t>
  </si>
  <si>
    <t>Alternative #2 Description</t>
  </si>
  <si>
    <t>Alternative #3 Description</t>
  </si>
  <si>
    <r>
      <rPr>
        <b/>
        <sz val="11"/>
        <rFont val="Calibri"/>
        <family val="2"/>
        <scheme val="minor"/>
      </rPr>
      <t>Instructions</t>
    </r>
    <r>
      <rPr>
        <sz val="11"/>
        <rFont val="Calibri"/>
        <family val="2"/>
        <scheme val="minor"/>
      </rPr>
      <t xml:space="preserve">: Operating statements are automatically generated from inputs on Equipment Inventory and Alternatives. These feed back in to the summary graphs on Alternatives. </t>
    </r>
    <r>
      <rPr>
        <b/>
        <sz val="11"/>
        <rFont val="Calibri"/>
        <family val="2"/>
        <scheme val="minor"/>
      </rPr>
      <t>Edit at your own risk.</t>
    </r>
  </si>
  <si>
    <t>Operating Statements</t>
  </si>
  <si>
    <t>NPV Period</t>
  </si>
  <si>
    <t>Year Begins</t>
  </si>
  <si>
    <t>Baseline Operating Statement -IR and Equipment Replacement</t>
  </si>
  <si>
    <t>Baseline Operating Forecast</t>
  </si>
  <si>
    <t>Management Fee (% of EGI)</t>
  </si>
  <si>
    <t>All Other Expenses (if used)</t>
  </si>
  <si>
    <t>Utility  - Tenant Passthrough</t>
  </si>
  <si>
    <t>OpEx - Tenant Passthrough</t>
  </si>
  <si>
    <t>CapEx - Tenant Passthrough</t>
  </si>
  <si>
    <t>Total Expenses - Tenant Passthrough Component</t>
  </si>
  <si>
    <t>Change in total expenses</t>
  </si>
  <si>
    <t>Net Operating Income - Tenant Passthrough Component</t>
  </si>
  <si>
    <t>Reactive Operating Forecast</t>
  </si>
  <si>
    <t>Carbon Offsets</t>
  </si>
  <si>
    <t>Fines for Noncompliance</t>
  </si>
  <si>
    <t>Scenario 1 Operating Statement</t>
  </si>
  <si>
    <t>Scenario 1 Operating Forecast</t>
  </si>
  <si>
    <t>Scenario 2 Operating Statement</t>
  </si>
  <si>
    <t>Scenario 2 Operating Forecast</t>
  </si>
  <si>
    <t>Scenario 3 Operating Statement</t>
  </si>
  <si>
    <t>Scenario 3 Operating Forecast</t>
  </si>
  <si>
    <t>Various Scenario Calculations - DO NOT EDIT</t>
  </si>
  <si>
    <t>NOI x1000000</t>
  </si>
  <si>
    <t>Year</t>
  </si>
  <si>
    <t>Baseline Reactive (Cap Op St+IR DM)</t>
  </si>
  <si>
    <t>Tenant Component</t>
  </si>
  <si>
    <t>Expenses x1000000</t>
  </si>
  <si>
    <t>NPV's</t>
  </si>
  <si>
    <t>5-yr Owner</t>
  </si>
  <si>
    <t>Owner Delta</t>
  </si>
  <si>
    <t>5-yr Tenant</t>
  </si>
  <si>
    <t>Tenant Delta</t>
  </si>
  <si>
    <t>10-yr Owner</t>
  </si>
  <si>
    <t>10-yr Tenant</t>
  </si>
  <si>
    <t>15-yr Owner</t>
  </si>
  <si>
    <t>15-yr Tenant</t>
  </si>
  <si>
    <t>20-yr Owner</t>
  </si>
  <si>
    <t>20-yr Tenant</t>
  </si>
  <si>
    <t>5-yr</t>
  </si>
  <si>
    <t>Delta</t>
  </si>
  <si>
    <t>10-yr</t>
  </si>
  <si>
    <t>15-yr</t>
  </si>
  <si>
    <t>20-yr</t>
  </si>
  <si>
    <t>Owner NPV of Analysis Period x1000</t>
  </si>
  <si>
    <t>NPV - Comply</t>
  </si>
  <si>
    <t>NPV - Fines</t>
  </si>
  <si>
    <t>Tenant  NPV of Analysis Period x1000</t>
  </si>
  <si>
    <t>Delta - xMill</t>
  </si>
  <si>
    <t>Total Delta - xMill</t>
  </si>
  <si>
    <t>Peak Demand (kW)</t>
  </si>
  <si>
    <t>Electricity Use (kWH)</t>
  </si>
  <si>
    <t>Natural Gas Use (therms)</t>
  </si>
  <si>
    <t>Steam use (lbs)</t>
  </si>
  <si>
    <t>Chilled water use (MMBTU)</t>
  </si>
  <si>
    <t>Hot water use (MMBTU)</t>
  </si>
  <si>
    <t>Fuel oil use (gallons)</t>
  </si>
  <si>
    <t>Total EUI (kBtu/SF)</t>
  </si>
  <si>
    <t>Electricity Emissions Factor Year on Year (kg / KWh)</t>
  </si>
  <si>
    <t>metric tons CO2eq / kBTU</t>
  </si>
  <si>
    <t>Total Emissions Before Offsets (tons CO2eq)</t>
  </si>
  <si>
    <t>Total Emissions Savings - Owner Equipment (tons CO2eq)</t>
  </si>
  <si>
    <t>5-yr total</t>
  </si>
  <si>
    <t>10-yr total</t>
  </si>
  <si>
    <t>15-yr total</t>
  </si>
  <si>
    <t>20-yr total</t>
  </si>
  <si>
    <t>Total Emissions Savings - Tenant Equipment (tons CO2eq)</t>
  </si>
  <si>
    <t>Fines Plus Offsets</t>
  </si>
  <si>
    <t>Proactive Offsets</t>
  </si>
  <si>
    <t>Excess Carbon Emissions (Fines/Offsets Needed)</t>
  </si>
  <si>
    <t>Net Emissions After Offsets (tons/thous SF)</t>
  </si>
  <si>
    <t>$ - Total Peak Demand Based Savings (KW)</t>
  </si>
  <si>
    <t>NPV x1000</t>
  </si>
  <si>
    <t>$ - Total Consumption Based Savings (kWh, Therms, etc.)</t>
  </si>
  <si>
    <t>% Change in NOI</t>
  </si>
  <si>
    <t>% Change in Total Expenses</t>
  </si>
  <si>
    <t>Emissions Target (Tons CO2eq)</t>
  </si>
  <si>
    <t>Emissions Mandate Test</t>
  </si>
  <si>
    <t>Year Stranded</t>
  </si>
  <si>
    <t>ADD MULTIFAMILY DATA</t>
  </si>
  <si>
    <t>Office</t>
  </si>
  <si>
    <t>Multifamily</t>
  </si>
  <si>
    <t>Unit</t>
  </si>
  <si>
    <t>Source Office</t>
  </si>
  <si>
    <t>Source Multifamily</t>
  </si>
  <si>
    <t>Rule of thumb, 15% load factor</t>
  </si>
  <si>
    <t>BOMA 2016 and 2018 EER US National Averages</t>
  </si>
  <si>
    <t>BOMA 2018 EER US Avg</t>
  </si>
  <si>
    <t>Avg gsf per office worker</t>
  </si>
  <si>
    <t>U.S. Private-Sector Office Building Occupancy Figures</t>
  </si>
  <si>
    <t>USA</t>
  </si>
  <si>
    <t>Avg gSF per maint worker</t>
  </si>
  <si>
    <t>General estimate</t>
  </si>
  <si>
    <t>See references</t>
  </si>
  <si>
    <t>Average occupancy rate</t>
  </si>
  <si>
    <t>Energy Escalation Rate</t>
  </si>
  <si>
    <t>Square feet per office tenant</t>
  </si>
  <si>
    <t>O&amp;M Escalation Rate</t>
  </si>
  <si>
    <t>Square feet per office worker</t>
  </si>
  <si>
    <t>Tax Escalation Rate</t>
  </si>
  <si>
    <t>Rent Escalation Rate</t>
  </si>
  <si>
    <t>U.S. Private-Sector Office Building Income Figures</t>
  </si>
  <si>
    <t>Total rental income</t>
  </si>
  <si>
    <t>Gross Potential Rent per SF</t>
  </si>
  <si>
    <t>2019 NAA Survey of Operating Income &amp; Expenses in Rental Apartment Communities</t>
  </si>
  <si>
    <t>Total losses per SF</t>
  </si>
  <si>
    <t>Other Revenue</t>
  </si>
  <si>
    <t>Total Revenue</t>
  </si>
  <si>
    <t>Total income</t>
  </si>
  <si>
    <t>n/a</t>
  </si>
  <si>
    <t>BOMA 2018 EER New York</t>
  </si>
  <si>
    <t>Base office rent</t>
  </si>
  <si>
    <t>Pass-throughs</t>
  </si>
  <si>
    <t>Escalations</t>
  </si>
  <si>
    <t>Gross parking income</t>
  </si>
  <si>
    <t>NY Snapshot Data</t>
  </si>
  <si>
    <t>BOMA 2016 EER US Avg</t>
  </si>
  <si>
    <t>Avg office rent per NY data sources:</t>
  </si>
  <si>
    <t>Fixed expenses (Taxes &amp; Insurance)</t>
  </si>
  <si>
    <t>U.S. Private-Sector Office Building Expense Figures</t>
  </si>
  <si>
    <t>https://www.rentnyoffice.com/nyc-office/</t>
  </si>
  <si>
    <t>Downtown</t>
  </si>
  <si>
    <t>https://www.cushmanwakefield.com/en/united-states/insights/us-marketbeats/us-office-marketbeat-reports</t>
  </si>
  <si>
    <t>Management fees</t>
  </si>
  <si>
    <t>Total operating expenses</t>
  </si>
  <si>
    <t>Midtown</t>
  </si>
  <si>
    <t>Salaries and Personnel</t>
  </si>
  <si>
    <t>Total operating + fixed expenses</t>
  </si>
  <si>
    <t>Manhattan</t>
  </si>
  <si>
    <t>2019-2020</t>
  </si>
  <si>
    <t>https://www.colliers.com/en/research/2020-q2-top-office-markets-snapshot-report</t>
  </si>
  <si>
    <t>Marketing</t>
  </si>
  <si>
    <t>* Leasing expenses not considered</t>
  </si>
  <si>
    <t>https://www.commercialcafe.com/blog/manhattan-office-report-q3-2019/</t>
  </si>
  <si>
    <t>Contract Services</t>
  </si>
  <si>
    <t>NY Commercial Vacancy Rates</t>
  </si>
  <si>
    <t>Utilities</t>
  </si>
  <si>
    <t>downtown</t>
  </si>
  <si>
    <t>Roads and grounds</t>
  </si>
  <si>
    <t>Repairs and maintenance</t>
  </si>
  <si>
    <t>https://www.colliers.com/en/research/2019-q4-us-office-market-outlook-report</t>
  </si>
  <si>
    <t>Real estate taxes</t>
  </si>
  <si>
    <t>Number of Units in study</t>
  </si>
  <si>
    <t>Avg Units per property</t>
  </si>
  <si>
    <t>Avg. No. of Square Feet/Unit</t>
  </si>
  <si>
    <t>https://www.platinumpropertiesnyc.com/blog/average-nyc-apartment-sqft-how-much-is-enough</t>
  </si>
  <si>
    <t>https://www.investopedia.com/articles/personal-finance/012315/how-expensive-new-york-city-really.asp</t>
  </si>
  <si>
    <t>Rent per SF</t>
  </si>
  <si>
    <t>https://www.zumper.com/blog/nyc-by-square-foot-see-which-neighborhood-gets-you-the-most-space-for-your-money/</t>
  </si>
  <si>
    <t>https://www.nytimes.com/2017/10/12/realestate/international-rents-per-square-foot.html</t>
  </si>
  <si>
    <t>https://www.nmhc.org/research-insight/industry-benchmarks/</t>
  </si>
  <si>
    <t>Turnover rate in %</t>
  </si>
  <si>
    <t>https://www.cbre.us/research-and-reports/US-Multifamily-Research-Brief---Apartment-Turnover-Rate-Continues-to-Fall-July-2019</t>
  </si>
  <si>
    <t>Rent per unit</t>
  </si>
  <si>
    <t>https://www.rentcafe.com/average-rent-market-trends/us/ny/manhattan/</t>
  </si>
  <si>
    <t>https://rentguidelinesboard.cityofnewyork.us/wp-content/uploads/2019/08/2019-IE.pdf</t>
  </si>
  <si>
    <t>Gross Potential Rent ($/SF)</t>
  </si>
  <si>
    <t>Rent revenue collected ($/SF)</t>
  </si>
  <si>
    <t>Vacancy rate</t>
  </si>
  <si>
    <t>Losses to vacancy ($/SF)</t>
  </si>
  <si>
    <t>Collection Losses ($/SF)</t>
  </si>
  <si>
    <t>Losses to Concessions ($/SF)</t>
  </si>
  <si>
    <t>Other Revenue ($/SF)</t>
  </si>
  <si>
    <t>11.2% of total</t>
  </si>
  <si>
    <t>Net operating expenses ($/SF)</t>
  </si>
  <si>
    <t>Maintenance and repair costs</t>
  </si>
  <si>
    <t>Annual utility costs</t>
  </si>
  <si>
    <t>Insurance</t>
  </si>
  <si>
    <t>Taxes</t>
  </si>
  <si>
    <t>NOI ($/SF)</t>
  </si>
  <si>
    <t>NOI per dwelling unit</t>
  </si>
  <si>
    <t>NOI % of revenue</t>
  </si>
  <si>
    <t>cost-to-income ratio</t>
  </si>
  <si>
    <t>https://www.naahq.org/news-publications/units/september-2019/article/2019-naa-survey-operating-income-expenses-rental</t>
  </si>
  <si>
    <t>https://fmlink.com/articles/boma-highest-lowest-total-operating-expenses-us-cities/</t>
  </si>
  <si>
    <t>ASHRAE 90.1 2016 Users Manual</t>
  </si>
  <si>
    <t>Hour of Day</t>
  </si>
  <si>
    <t>Table G-H, Office Occupancy</t>
  </si>
  <si>
    <t>Daily Sch</t>
  </si>
  <si>
    <t>Lighting &amp; Receptacles</t>
  </si>
  <si>
    <t>Fraction</t>
  </si>
  <si>
    <t>WD</t>
  </si>
  <si>
    <t>Sat</t>
  </si>
  <si>
    <t>Sun</t>
  </si>
  <si>
    <t>HVAC Systems (AC &amp; Vent)</t>
  </si>
  <si>
    <t>OnOff</t>
  </si>
  <si>
    <t>Service HW</t>
  </si>
  <si>
    <t>Receptacles</t>
  </si>
  <si>
    <t>https://fmlink.com/articles/boma-releases-office-industrial-benchmarking-reports/</t>
  </si>
  <si>
    <t>Title 24 Part 6 2016 NR ACM Reference Schedules</t>
  </si>
  <si>
    <t>https://www.boma.org/BOMA/Research-Resources/3-BOMA-Spaces/Newsroom/Press_Room/2018/PR111918.aspx</t>
  </si>
  <si>
    <t>https://ww2.energy.ca.gov/title24/2016standards/ACM_Supporting_Content/</t>
  </si>
  <si>
    <t>Office Occupancy</t>
  </si>
  <si>
    <t>:Schedule Name</t>
  </si>
  <si>
    <t>Occupancy</t>
  </si>
  <si>
    <t>Lights</t>
  </si>
  <si>
    <t>Receptacle</t>
  </si>
  <si>
    <t>HVAC Avail</t>
  </si>
  <si>
    <t>Service Hot Water</t>
  </si>
  <si>
    <t>Elevator</t>
  </si>
  <si>
    <t>Refrigeration</t>
  </si>
  <si>
    <t>Escalator</t>
  </si>
  <si>
    <t>Gas Equip</t>
  </si>
  <si>
    <t>https://www.boma.org/BOMA/Research-Resources/3-BOMA-Spaces/Newsroom/PR91818.aspx</t>
  </si>
  <si>
    <t>BOMA 2020 EER  New York City</t>
  </si>
  <si>
    <t>https://www.nreionline.com/node/79501/gallery?slide=10</t>
  </si>
  <si>
    <t>https://www.wealthmanagement.com/office/office-markets-greatest-operating-expenses/gallery?slide=11</t>
  </si>
  <si>
    <t>Property Use Types</t>
  </si>
  <si>
    <t>Building Occupancy Types - NYC</t>
  </si>
  <si>
    <t>Metered Energy Types</t>
  </si>
  <si>
    <t>Default Energy Units</t>
  </si>
  <si>
    <t>Delivered Energy Type</t>
  </si>
  <si>
    <t>Imported Energy Types</t>
  </si>
  <si>
    <t>On-Site Renewable Energy Generation Types</t>
  </si>
  <si>
    <t>Exported Energy Types</t>
  </si>
  <si>
    <t>Metering Configuration</t>
  </si>
  <si>
    <t>Y/N</t>
  </si>
  <si>
    <t>Building Geometry</t>
  </si>
  <si>
    <t>System Types</t>
  </si>
  <si>
    <t>HVAC System Type</t>
  </si>
  <si>
    <t>Cooling Air Distribution Type</t>
  </si>
  <si>
    <t>Heating Air Distribution Type</t>
  </si>
  <si>
    <t>Fan Control</t>
  </si>
  <si>
    <t>Cooling Source</t>
  </si>
  <si>
    <t>Heating Source</t>
  </si>
  <si>
    <t>Chiller Fuel Type</t>
  </si>
  <si>
    <t>Heating Fuel Type</t>
  </si>
  <si>
    <t>Chiller Type</t>
  </si>
  <si>
    <t>Chiller Compressor Type</t>
  </si>
  <si>
    <t>Chiller Condenser Type</t>
  </si>
  <si>
    <t>Boiler Type</t>
  </si>
  <si>
    <t>Boiler Draft Type</t>
  </si>
  <si>
    <t>DHW Source</t>
  </si>
  <si>
    <t>DHW Type</t>
  </si>
  <si>
    <t>DHW Fuel Type</t>
  </si>
  <si>
    <t>Energy Units</t>
  </si>
  <si>
    <t>Conversion to kBTU (multiply by)</t>
  </si>
  <si>
    <t>End Use Categories</t>
  </si>
  <si>
    <t>State</t>
  </si>
  <si>
    <t>Boolean</t>
  </si>
  <si>
    <t>Lighting Source Type(s)</t>
  </si>
  <si>
    <t>Ballast Type(s)</t>
  </si>
  <si>
    <t>Lighting Control(s)</t>
  </si>
  <si>
    <t>Approx % Area Served</t>
  </si>
  <si>
    <t>Target Type</t>
  </si>
  <si>
    <t>ECM Type</t>
  </si>
  <si>
    <t>Equipment Type</t>
  </si>
  <si>
    <t>Useful Life</t>
  </si>
  <si>
    <t>Electric Emissions (kg/kWh) 2022-2040</t>
  </si>
  <si>
    <t>Select Property Type</t>
  </si>
  <si>
    <t>kBtu</t>
  </si>
  <si>
    <t>Adult Education</t>
  </si>
  <si>
    <t>Oil</t>
  </si>
  <si>
    <t>gallons</t>
  </si>
  <si>
    <t>IP</t>
  </si>
  <si>
    <t>(Tenants directly metered)</t>
  </si>
  <si>
    <t>Rectangular</t>
  </si>
  <si>
    <t>Heating Plant Type</t>
  </si>
  <si>
    <t>'Packaged Terminal Air Conditioner'</t>
  </si>
  <si>
    <t>Air Handling Unit (AHU)</t>
  </si>
  <si>
    <t>Constant Volume</t>
  </si>
  <si>
    <t>No Cooling</t>
  </si>
  <si>
    <t>No Heating</t>
  </si>
  <si>
    <t>Electric</t>
  </si>
  <si>
    <t>Gas Absorption</t>
  </si>
  <si>
    <t>Reciprocating</t>
  </si>
  <si>
    <t>Air-cooled</t>
  </si>
  <si>
    <t>Steam Low Pressure</t>
  </si>
  <si>
    <t>Mechanical Draft</t>
  </si>
  <si>
    <t>No DHW</t>
  </si>
  <si>
    <t>Storage</t>
  </si>
  <si>
    <t>Based on ASHRAE 100-2015 Table 5-2</t>
  </si>
  <si>
    <t>AA</t>
  </si>
  <si>
    <t>Y</t>
  </si>
  <si>
    <t>CFL</t>
  </si>
  <si>
    <t>Electronic</t>
  </si>
  <si>
    <t>None</t>
  </si>
  <si>
    <t>&lt;10</t>
  </si>
  <si>
    <t>Source</t>
  </si>
  <si>
    <t>Short</t>
  </si>
  <si>
    <t>AC Window Unit</t>
  </si>
  <si>
    <t>Ambulatory Surgical Center</t>
  </si>
  <si>
    <t>SI</t>
  </si>
  <si>
    <t>Master meter without sub-metering</t>
  </si>
  <si>
    <t>(Tenants not directly metered or sub-metered)</t>
  </si>
  <si>
    <t>L-Shape</t>
  </si>
  <si>
    <t>Cooling Plant Type</t>
  </si>
  <si>
    <t>'Four Pipe Fan Coil Unit'</t>
  </si>
  <si>
    <t>Hydronic to Zone Equipment</t>
  </si>
  <si>
    <t>Variable Air Volume</t>
  </si>
  <si>
    <t>DX Cooling</t>
  </si>
  <si>
    <t>Central Furnace</t>
  </si>
  <si>
    <t>Gas</t>
  </si>
  <si>
    <t>Steam Absorption</t>
  </si>
  <si>
    <t>Scroll/Screw</t>
  </si>
  <si>
    <t>Water-cooled</t>
  </si>
  <si>
    <t>Steam High Pressure</t>
  </si>
  <si>
    <t>Natural Draft</t>
  </si>
  <si>
    <t>Indirect Fired</t>
  </si>
  <si>
    <t>Instantaneous</t>
  </si>
  <si>
    <t>MWh</t>
  </si>
  <si>
    <t>AE</t>
  </si>
  <si>
    <t>N</t>
  </si>
  <si>
    <t>Fluorescent T5/High output T5</t>
  </si>
  <si>
    <t>Magnetic</t>
  </si>
  <si>
    <t>Manual</t>
  </si>
  <si>
    <t>Site</t>
  </si>
  <si>
    <t>Medium</t>
  </si>
  <si>
    <t>AC Commerical through the wall</t>
  </si>
  <si>
    <t>Aquarium</t>
  </si>
  <si>
    <t>short ton</t>
  </si>
  <si>
    <t>On-Site Generated - Other</t>
  </si>
  <si>
    <t>Exported - Other</t>
  </si>
  <si>
    <t>(Tenants sub-metered by building owner)</t>
  </si>
  <si>
    <t>U-Shape</t>
  </si>
  <si>
    <t>'Packaged Terminal Heat Pump'</t>
  </si>
  <si>
    <t>Refrigerant to Zone Equipment</t>
  </si>
  <si>
    <t>Steam to Zone Equipment</t>
  </si>
  <si>
    <t>Chiller</t>
  </si>
  <si>
    <t>Heat Pump</t>
  </si>
  <si>
    <t>Oil (Specify Grade)</t>
  </si>
  <si>
    <t>Steam Turbine</t>
  </si>
  <si>
    <t>Centrifugal</t>
  </si>
  <si>
    <t>Ground coupled</t>
  </si>
  <si>
    <t>Hydronic</t>
  </si>
  <si>
    <t>Direct Fired</t>
  </si>
  <si>
    <t>AL</t>
  </si>
  <si>
    <t>Fluorescent T8/Super T8</t>
  </si>
  <si>
    <t>Occupancy sensor</t>
  </si>
  <si>
    <t>Building</t>
  </si>
  <si>
    <t>Athletic Fields</t>
  </si>
  <si>
    <t>Combination</t>
  </si>
  <si>
    <t>H-Shaped</t>
  </si>
  <si>
    <t>Cooling Delivery Type</t>
  </si>
  <si>
    <t>'Packaged Rooftop Air Conditioner'</t>
  </si>
  <si>
    <t>District Chilled water</t>
  </si>
  <si>
    <t>Boiler</t>
  </si>
  <si>
    <t>Evaporative</t>
  </si>
  <si>
    <t>Other (Specify)</t>
  </si>
  <si>
    <t>AK</t>
  </si>
  <si>
    <t>Fluorescent T12/High output T12</t>
  </si>
  <si>
    <t>Photocell</t>
  </si>
  <si>
    <t>Water Source HP</t>
  </si>
  <si>
    <t>Nighttime Peak</t>
  </si>
  <si>
    <t>Automobile Dealership</t>
  </si>
  <si>
    <t>Unknown</t>
  </si>
  <si>
    <t>T-Shape</t>
  </si>
  <si>
    <t>Heating Delivery Type</t>
  </si>
  <si>
    <t>'Packaged Rooftop Heat Pump'</t>
  </si>
  <si>
    <t>Others (Specify)</t>
  </si>
  <si>
    <t>dekatherms</t>
  </si>
  <si>
    <t>AP</t>
  </si>
  <si>
    <t>High pressure sodium</t>
  </si>
  <si>
    <t>Timer</t>
  </si>
  <si>
    <t>Storage and Load Shifting</t>
  </si>
  <si>
    <t>Air Source HP</t>
  </si>
  <si>
    <t>Bank Branch</t>
  </si>
  <si>
    <t>O-Shape</t>
  </si>
  <si>
    <t>Heat Recovery Type</t>
  </si>
  <si>
    <t>'Packaged Rooftop VAV with Hot-Water Reheat'</t>
  </si>
  <si>
    <t>District Hot Water</t>
  </si>
  <si>
    <t>MJ</t>
  </si>
  <si>
    <t>Conveyance</t>
  </si>
  <si>
    <t>AS</t>
  </si>
  <si>
    <t>Incandescent/Halogen</t>
  </si>
  <si>
    <t>BAS</t>
  </si>
  <si>
    <t>Rooftop AC</t>
  </si>
  <si>
    <t>Weekend Peak</t>
  </si>
  <si>
    <t>Bar/Nightclub</t>
  </si>
  <si>
    <t>DX System Type</t>
  </si>
  <si>
    <t>'Packaged Rooftop VAV with Electric Reheat'</t>
  </si>
  <si>
    <t>cubic feet (NG)</t>
  </si>
  <si>
    <t>AZ</t>
  </si>
  <si>
    <t>Induction</t>
  </si>
  <si>
    <t>Advanced</t>
  </si>
  <si>
    <t>Boiler - Steel Water-tube</t>
  </si>
  <si>
    <t>Barracks</t>
  </si>
  <si>
    <t>'VAV with Hot-Water Reheat'</t>
  </si>
  <si>
    <t>MCF (NG)</t>
  </si>
  <si>
    <t>AR</t>
  </si>
  <si>
    <t>LED</t>
  </si>
  <si>
    <t>Boiler - Steel fire-tube</t>
  </si>
  <si>
    <t>Bowling Alley</t>
  </si>
  <si>
    <t>'VAV with Electric Reheat'</t>
  </si>
  <si>
    <t>Energy Star Portfolio Manager Thermal Conversions</t>
  </si>
  <si>
    <t xml:space="preserve">Process Loads </t>
  </si>
  <si>
    <t>CA</t>
  </si>
  <si>
    <t>Mercury vapor</t>
  </si>
  <si>
    <t>Boiler - cast iron</t>
  </si>
  <si>
    <t>Casino</t>
  </si>
  <si>
    <t>'Warm Air Furnace'</t>
  </si>
  <si>
    <t>lbs District Steam (15 psig) dumped after use</t>
  </si>
  <si>
    <t>Enthalpy of evaporation plus difference saturated water enthalpy and 55 degree water at atmospheric pressure, Source 1</t>
  </si>
  <si>
    <t>CO</t>
  </si>
  <si>
    <t>Metal halide</t>
  </si>
  <si>
    <t>College/University</t>
  </si>
  <si>
    <t>'Ventilation Only'</t>
  </si>
  <si>
    <t>lbs District Steam (50 psig) dumped after use</t>
  </si>
  <si>
    <t>Cooking</t>
  </si>
  <si>
    <t>CT</t>
  </si>
  <si>
    <t xml:space="preserve">Furnace </t>
  </si>
  <si>
    <t>Convenience Store with Gas Station</t>
  </si>
  <si>
    <t>'Dedicated Outdoor Air System'</t>
  </si>
  <si>
    <t>lbs District Steam (140 psig) dumped after use</t>
  </si>
  <si>
    <t>Information Technology</t>
  </si>
  <si>
    <t>DE</t>
  </si>
  <si>
    <t>Unit heater - Gas</t>
  </si>
  <si>
    <t>Convenience Store without Gas Station</t>
  </si>
  <si>
    <t>'Water-Loop Heat Pump'</t>
  </si>
  <si>
    <t>lbs (steam, 15 psig) condensate reused</t>
  </si>
  <si>
    <t>Enthalpy of evaporation only, Source 1</t>
  </si>
  <si>
    <t>DC</t>
  </si>
  <si>
    <t>Unit heater - Electric</t>
  </si>
  <si>
    <t>Convention Center</t>
  </si>
  <si>
    <t>'Ground Source Heat Pump'</t>
  </si>
  <si>
    <t>lbs (steam, 50 psig) condensate reused</t>
  </si>
  <si>
    <t>FM</t>
  </si>
  <si>
    <t>Unit heater - hot water or steam</t>
  </si>
  <si>
    <t>Courthouse</t>
  </si>
  <si>
    <t>lbs (steam, 140 psig) condensate reused</t>
  </si>
  <si>
    <t>FL</t>
  </si>
  <si>
    <t>Radiant heater - Electric</t>
  </si>
  <si>
    <t>Data Center</t>
  </si>
  <si>
    <t>Source 2</t>
  </si>
  <si>
    <t>GA</t>
  </si>
  <si>
    <t>Radiant heater - hot water or steam</t>
  </si>
  <si>
    <t>Distribution Center</t>
  </si>
  <si>
    <t>GU</t>
  </si>
  <si>
    <t>Centrifugal Fan</t>
  </si>
  <si>
    <t>Drinking Water Treatment &amp; Distribution</t>
  </si>
  <si>
    <t>Select Building Type</t>
  </si>
  <si>
    <t>HI</t>
  </si>
  <si>
    <t>Axial Fan</t>
  </si>
  <si>
    <t>Enclosed Mall</t>
  </si>
  <si>
    <t>gallons (Fuel Oil #3)</t>
  </si>
  <si>
    <t>(Energy Content of #4 minus Energy Content of #2) x 40% + Energy Content of #2</t>
  </si>
  <si>
    <t>Propeller Fan</t>
  </si>
  <si>
    <t>Energy/Power Station</t>
  </si>
  <si>
    <t>gallons (Fuel Oil #4)</t>
  </si>
  <si>
    <t>IL</t>
  </si>
  <si>
    <t>Ventilating Roof-Mounted Fan</t>
  </si>
  <si>
    <t>Fast Food Restaurant</t>
  </si>
  <si>
    <t>gallons (Fuel Oil #5 Light)</t>
  </si>
  <si>
    <t>IN</t>
  </si>
  <si>
    <t>DX, Water, or Steam Coils</t>
  </si>
  <si>
    <t>Financial Office</t>
  </si>
  <si>
    <t>gallons (Fuel Oil #5 Heavy)</t>
  </si>
  <si>
    <t>IA</t>
  </si>
  <si>
    <t>Fire Station</t>
  </si>
  <si>
    <t>gallons (Fuel Oil #6)</t>
  </si>
  <si>
    <t/>
  </si>
  <si>
    <t>KS</t>
  </si>
  <si>
    <t>Compressor (Reciprocating)</t>
  </si>
  <si>
    <t>Fitness Center/Health Club/Gym</t>
  </si>
  <si>
    <t>gallons (Diesel)</t>
  </si>
  <si>
    <t>Assumed to be the same as Fuel Oil #2</t>
  </si>
  <si>
    <t>KY</t>
  </si>
  <si>
    <t>Food Sales</t>
  </si>
  <si>
    <t>gallons (Gasoline)</t>
  </si>
  <si>
    <t>LA</t>
  </si>
  <si>
    <t>Packaged Chiller - Reciprocating</t>
  </si>
  <si>
    <t>Food Service</t>
  </si>
  <si>
    <t>ME</t>
  </si>
  <si>
    <t>Hospital (General Medical &amp; Surgical)</t>
  </si>
  <si>
    <t>cubic feet (Propane)</t>
  </si>
  <si>
    <t>MH</t>
  </si>
  <si>
    <t>Packaged Chiller - Absorption</t>
  </si>
  <si>
    <t>Hotel</t>
  </si>
  <si>
    <t>MD</t>
  </si>
  <si>
    <t>Ice/Curling Rink</t>
  </si>
  <si>
    <t>MA</t>
  </si>
  <si>
    <t>Cooling Tower - Wood</t>
  </si>
  <si>
    <t>Indoor Arena</t>
  </si>
  <si>
    <t>Source 1:</t>
  </si>
  <si>
    <t>http://www.spiraxsarco.com/Resources/Pages/Steam-Tables/saturated-steam.aspx</t>
  </si>
  <si>
    <t>MI</t>
  </si>
  <si>
    <t>Cooling Tower - Ceramic</t>
  </si>
  <si>
    <t>K-12 School</t>
  </si>
  <si>
    <t>Source 2:</t>
  </si>
  <si>
    <t>http://www.eia.gov/energyexplained/?page=about_energy_units</t>
  </si>
  <si>
    <t>MN</t>
  </si>
  <si>
    <t>Condenser - Air-cooled</t>
  </si>
  <si>
    <t>Laboratory</t>
  </si>
  <si>
    <t>MS</t>
  </si>
  <si>
    <t>Condenser - Evaporative</t>
  </si>
  <si>
    <t>Library</t>
  </si>
  <si>
    <t>MO</t>
  </si>
  <si>
    <t>Lifestyle Center</t>
  </si>
  <si>
    <t>MT</t>
  </si>
  <si>
    <t>Mailing Center/Post Office</t>
  </si>
  <si>
    <t>NE</t>
  </si>
  <si>
    <t>Pump - Sump and Well</t>
  </si>
  <si>
    <t>Manufacturing/Industrial Plant</t>
  </si>
  <si>
    <t>NV</t>
  </si>
  <si>
    <t>Pump - Condensate</t>
  </si>
  <si>
    <t>Medical Office</t>
  </si>
  <si>
    <t>NH</t>
  </si>
  <si>
    <t>Steam turbine</t>
  </si>
  <si>
    <t>Mixed Use Property</t>
  </si>
  <si>
    <t>NJ</t>
  </si>
  <si>
    <t>Reciprocating Engine</t>
  </si>
  <si>
    <t>Movie Theater</t>
  </si>
  <si>
    <t>NM</t>
  </si>
  <si>
    <t>Electric Motor</t>
  </si>
  <si>
    <t>Multifamily Housing</t>
  </si>
  <si>
    <t>Pneumatic Controls</t>
  </si>
  <si>
    <t>Multifamily Housing - Dwelling Units</t>
  </si>
  <si>
    <t>NC</t>
  </si>
  <si>
    <t>Electronic Controls</t>
  </si>
  <si>
    <t>Multifamily Housing - Common Areas</t>
  </si>
  <si>
    <t>ND</t>
  </si>
  <si>
    <t>Valve Actuator - Hydraulic</t>
  </si>
  <si>
    <t>Museum</t>
  </si>
  <si>
    <t>MP</t>
  </si>
  <si>
    <t>Valve Actuator - Pneumatic</t>
  </si>
  <si>
    <t>Non-Refrigerated Warehouse</t>
  </si>
  <si>
    <t>OH</t>
  </si>
  <si>
    <t>Valve Actuator - Self-contained</t>
  </si>
  <si>
    <t>OK</t>
  </si>
  <si>
    <t>OR</t>
  </si>
  <si>
    <t>Other – Education</t>
  </si>
  <si>
    <t>PW</t>
  </si>
  <si>
    <t>Other – Lodging/Residential</t>
  </si>
  <si>
    <t>PA</t>
  </si>
  <si>
    <t>Other – Office</t>
  </si>
  <si>
    <t>PR</t>
  </si>
  <si>
    <t>Other – Entertainment/Public Assembly</t>
  </si>
  <si>
    <t>RI</t>
  </si>
  <si>
    <t>Other – Other</t>
  </si>
  <si>
    <t>SC</t>
  </si>
  <si>
    <t>Other – Public Service</t>
  </si>
  <si>
    <t>SD</t>
  </si>
  <si>
    <t>Other – Recreation</t>
  </si>
  <si>
    <t>TN</t>
  </si>
  <si>
    <t>Other – Restaurant/Bar</t>
  </si>
  <si>
    <t>TX</t>
  </si>
  <si>
    <t>Other – Retail/Mall</t>
  </si>
  <si>
    <t>UT</t>
  </si>
  <si>
    <t>Other – Services</t>
  </si>
  <si>
    <t>VT</t>
  </si>
  <si>
    <t>Other – Specialty Hospital</t>
  </si>
  <si>
    <t>VI</t>
  </si>
  <si>
    <t>Other – Stadium</t>
  </si>
  <si>
    <t>VA</t>
  </si>
  <si>
    <t>Other – Technology/Science</t>
  </si>
  <si>
    <t>WA</t>
  </si>
  <si>
    <t>Other – Utility</t>
  </si>
  <si>
    <t>WV</t>
  </si>
  <si>
    <t>Outpatient Rehabilitation/Physical Therapy</t>
  </si>
  <si>
    <t>WI</t>
  </si>
  <si>
    <t>WY</t>
  </si>
  <si>
    <t>Performing Arts</t>
  </si>
  <si>
    <t>Personal Services (Health/Beauty, Dry Cleaning, etc)</t>
  </si>
  <si>
    <t>Police Station</t>
  </si>
  <si>
    <t>Pre-school/Daycare</t>
  </si>
  <si>
    <t>Prison/Incarceration</t>
  </si>
  <si>
    <t>Race Track</t>
  </si>
  <si>
    <t>Refrigerated Warehouse</t>
  </si>
  <si>
    <t>Repair Services (Vehicle, Shoe, Locksmith, etc)</t>
  </si>
  <si>
    <t>Residence Hall/Dormitory</t>
  </si>
  <si>
    <t>Residential Care Facility</t>
  </si>
  <si>
    <t>Restaurant</t>
  </si>
  <si>
    <t>Retail Store</t>
  </si>
  <si>
    <t>Roller Rink</t>
  </si>
  <si>
    <t>Self-Storage Facility</t>
  </si>
  <si>
    <t>Senior Care Community</t>
  </si>
  <si>
    <t>Single Family Home</t>
  </si>
  <si>
    <t>Social/Meeting Hall</t>
  </si>
  <si>
    <t>Stadium (Closed)</t>
  </si>
  <si>
    <t>Stadium (Open)</t>
  </si>
  <si>
    <t>Strip Mall</t>
  </si>
  <si>
    <t>Supermarket/Grocery Store</t>
  </si>
  <si>
    <t>Swimming Pool</t>
  </si>
  <si>
    <t>Transportation Terminal/Station</t>
  </si>
  <si>
    <t>Urgent Care/Clinic/Other Outpatient</t>
  </si>
  <si>
    <t>Vacant</t>
  </si>
  <si>
    <t>Veterinary Office</t>
  </si>
  <si>
    <t>Vocational School</t>
  </si>
  <si>
    <t>Wastewater Treatment Plant</t>
  </si>
  <si>
    <t>Wholesale Club/Supercenter</t>
  </si>
  <si>
    <t>Worship Facility</t>
  </si>
  <si>
    <t>Zoo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</si>
</sst>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_(* #,##0.0_);_(* \(#,##0.0\);_(* &quot;-&quot;??_);_(@_)"/>
    <numFmt numFmtId="167" formatCode="_(&quot;$&quot;* #,##0_);_(&quot;$&quot;* \(#,##0\);_(&quot;$&quot;* &quot;-&quot;??_);_(@_)"/>
    <numFmt numFmtId="168" formatCode="_(* #,##0_);_(* \(#,##0\);_(* &quot;-&quot;??_);_(@_)"/>
    <numFmt numFmtId="169" formatCode="0.0"/>
    <numFmt numFmtId="170" formatCode="&quot;$&quot;#,##0.00"/>
    <numFmt numFmtId="171" formatCode="0.000"/>
    <numFmt numFmtId="172" formatCode="0.0000"/>
    <numFmt numFmtId="173" formatCode="&quot;$&quot;#,##0"/>
    <numFmt numFmtId="174" formatCode="[$$-409]#,##0_);\([$$-409]#,##0\)"/>
    <numFmt numFmtId="175" formatCode="0.0%"/>
    <numFmt numFmtId="176" formatCode="_(&quot;$&quot;* #,##0.00_);_(&quot;$&quot;* \(#,##0.00\);_(&quot;$&quot;* &quot;-&quot;_);_(@_)"/>
    <numFmt numFmtId="177" formatCode="_(&quot;$&quot;* #,##0_);_(&quot;$&quot;* \(#,##0\);_(&quot;$&quot;* &quot;-&quot;????_);_(@_)"/>
    <numFmt numFmtId="178" formatCode="_(&quot;$&quot;* #,##0.0_);_(&quot;$&quot;* \(#,##0.0\);_(&quot;$&quot;* &quot;-&quot;??_);_(@_)"/>
    <numFmt numFmtId="179" formatCode="&quot;$&quot;#,##0.000"/>
    <numFmt numFmtId="180" formatCode="&quot;$&quot;#,##0.0"/>
    <numFmt numFmtId="181" formatCode="0.00000"/>
    <numFmt numFmtId="182" formatCode="0.0000000"/>
    <numFmt numFmtId="183" formatCode="0.00000000"/>
  </numFmts>
  <fonts count="8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6"/>
      <color theme="1"/>
      <name val="Calibri"/>
      <family val="2"/>
      <scheme val="minor"/>
    </font>
    <font>
      <u/>
      <sz val="11"/>
      <color theme="10"/>
      <name val="Calibri"/>
      <family val="2"/>
      <scheme val="minor"/>
    </font>
    <font>
      <b/>
      <u/>
      <sz val="11"/>
      <color theme="10"/>
      <name val="Calibri"/>
      <family val="2"/>
      <scheme val="minor"/>
    </font>
    <font>
      <b/>
      <u/>
      <sz val="11"/>
      <color rgb="FF0070C0"/>
      <name val="Calibri"/>
      <family val="2"/>
      <scheme val="minor"/>
    </font>
    <font>
      <sz val="10"/>
      <name val="Arial"/>
      <family val="2"/>
    </font>
    <font>
      <sz val="16"/>
      <color theme="0"/>
      <name val="Calibri"/>
      <family val="2"/>
      <scheme val="minor"/>
    </font>
    <font>
      <sz val="10"/>
      <color theme="0"/>
      <name val="Calibri"/>
      <family val="2"/>
      <scheme val="minor"/>
    </font>
    <font>
      <sz val="12"/>
      <color theme="1"/>
      <name val="Calibri"/>
      <family val="2"/>
      <scheme val="minor"/>
    </font>
    <font>
      <b/>
      <sz val="10"/>
      <color theme="1"/>
      <name val="Arial"/>
      <family val="2"/>
    </font>
    <font>
      <b/>
      <sz val="10"/>
      <name val="Arial"/>
      <family val="2"/>
    </font>
    <font>
      <b/>
      <sz val="10"/>
      <color theme="0"/>
      <name val="Arial"/>
      <family val="2"/>
    </font>
    <font>
      <sz val="11"/>
      <color rgb="FF000000"/>
      <name val="Calibri"/>
      <family val="2"/>
      <scheme val="minor"/>
    </font>
    <font>
      <sz val="11"/>
      <color indexed="64"/>
      <name val="Calibri"/>
      <family val="2"/>
      <scheme val="minor"/>
    </font>
    <font>
      <sz val="9"/>
      <color indexed="81"/>
      <name val="Tahoma"/>
      <family val="2"/>
    </font>
    <font>
      <b/>
      <sz val="9"/>
      <color indexed="81"/>
      <name val="Tahoma"/>
      <family val="2"/>
    </font>
    <font>
      <sz val="14"/>
      <color theme="0"/>
      <name val="Calibri"/>
      <family val="2"/>
      <scheme val="minor"/>
    </font>
    <font>
      <b/>
      <sz val="14"/>
      <color theme="0"/>
      <name val="Calibri"/>
      <family val="2"/>
      <scheme val="minor"/>
    </font>
    <font>
      <i/>
      <sz val="11"/>
      <color theme="1"/>
      <name val="Calibri"/>
      <family val="2"/>
      <scheme val="minor"/>
    </font>
    <font>
      <sz val="11"/>
      <color rgb="FFFF0000"/>
      <name val="Calibri"/>
      <family val="2"/>
      <scheme val="minor"/>
    </font>
    <font>
      <u/>
      <sz val="11"/>
      <color theme="11"/>
      <name val="Calibri"/>
      <family val="2"/>
      <scheme val="minor"/>
    </font>
    <font>
      <b/>
      <sz val="12"/>
      <name val="Calibri"/>
      <family val="2"/>
      <scheme val="minor"/>
    </font>
    <font>
      <sz val="11"/>
      <color indexed="8"/>
      <name val="Calibri"/>
      <family val="2"/>
    </font>
    <font>
      <sz val="10"/>
      <name val="Verdana"/>
      <family val="2"/>
    </font>
    <font>
      <sz val="10"/>
      <name val="Optima"/>
      <family val="2"/>
    </font>
    <font>
      <u/>
      <sz val="10"/>
      <color indexed="12"/>
      <name val="Verdana"/>
      <family val="2"/>
    </font>
    <font>
      <b/>
      <sz val="10"/>
      <name val="Verdana"/>
      <family val="2"/>
    </font>
    <font>
      <sz val="10"/>
      <color theme="1"/>
      <name val="Calibri"/>
      <family val="2"/>
      <scheme val="minor"/>
    </font>
    <font>
      <sz val="11"/>
      <color indexed="8"/>
      <name val="Calibri"/>
      <family val="2"/>
      <scheme val="minor"/>
    </font>
    <font>
      <sz val="10"/>
      <color theme="1"/>
      <name val="Arial"/>
      <family val="2"/>
    </font>
    <font>
      <sz val="11"/>
      <color rgb="FF006100"/>
      <name val="Calibri"/>
      <family val="2"/>
      <scheme val="minor"/>
    </font>
    <font>
      <b/>
      <sz val="9"/>
      <name val="Arial"/>
      <family val="2"/>
    </font>
    <font>
      <b/>
      <sz val="10"/>
      <color indexed="12"/>
      <name val="Arial"/>
      <family val="2"/>
    </font>
    <font>
      <sz val="10"/>
      <color indexed="12"/>
      <name val="Arial"/>
      <family val="2"/>
    </font>
    <font>
      <sz val="9"/>
      <color theme="1"/>
      <name val="Arial"/>
      <family val="2"/>
    </font>
    <font>
      <sz val="9"/>
      <name val="Arial"/>
      <family val="2"/>
    </font>
    <font>
      <sz val="10"/>
      <color indexed="8"/>
      <name val="Arial"/>
      <family val="2"/>
    </font>
    <font>
      <i/>
      <sz val="10"/>
      <name val="Arial"/>
      <family val="2"/>
    </font>
    <font>
      <sz val="8"/>
      <name val="Arial"/>
      <family val="2"/>
    </font>
    <font>
      <u/>
      <sz val="10"/>
      <color theme="10"/>
      <name val="Arial"/>
      <family val="2"/>
    </font>
    <font>
      <u/>
      <sz val="10"/>
      <color indexed="12"/>
      <name val="Arial"/>
      <family val="2"/>
    </font>
    <font>
      <u/>
      <sz val="7.5"/>
      <color indexed="12"/>
      <name val="Arial"/>
      <family val="2"/>
    </font>
    <font>
      <sz val="14"/>
      <name val="Tahoma"/>
      <family val="2"/>
    </font>
    <font>
      <sz val="10"/>
      <name val="Tahoma"/>
      <family val="2"/>
    </font>
    <font>
      <i/>
      <sz val="9"/>
      <name val="Arial"/>
      <family val="2"/>
    </font>
    <font>
      <sz val="11"/>
      <color theme="1"/>
      <name val="Calibri"/>
      <family val="2"/>
      <charset val="162"/>
      <scheme val="minor"/>
    </font>
    <font>
      <b/>
      <sz val="11"/>
      <color rgb="FF3F3F3F"/>
      <name val="Calibri"/>
      <family val="2"/>
      <scheme val="minor"/>
    </font>
    <font>
      <sz val="11"/>
      <color rgb="FF333333"/>
      <name val="Calibri"/>
      <family val="2"/>
      <scheme val="minor"/>
    </font>
    <font>
      <b/>
      <sz val="11"/>
      <color rgb="FF000000"/>
      <name val="Calibri"/>
      <family val="2"/>
      <scheme val="minor"/>
    </font>
    <font>
      <u/>
      <sz val="11"/>
      <color rgb="FF000000"/>
      <name val="Calibri"/>
      <family val="2"/>
      <scheme val="minor"/>
    </font>
    <font>
      <b/>
      <sz val="14"/>
      <color rgb="FFFFFFFF"/>
      <name val="Calibri"/>
      <family val="2"/>
      <scheme val="minor"/>
    </font>
    <font>
      <sz val="10"/>
      <name val="Calibri"/>
      <family val="2"/>
      <scheme val="minor"/>
    </font>
    <font>
      <sz val="16"/>
      <name val="Calibri"/>
      <family val="2"/>
      <scheme val="minor"/>
    </font>
    <font>
      <i/>
      <sz val="11"/>
      <name val="Calibri"/>
      <family val="2"/>
      <scheme val="minor"/>
    </font>
    <font>
      <b/>
      <sz val="11"/>
      <color rgb="FFFF0000"/>
      <name val="Calibri"/>
      <family val="2"/>
      <scheme val="minor"/>
    </font>
    <font>
      <sz val="10"/>
      <color theme="0"/>
      <name val="Arial"/>
      <family val="2"/>
    </font>
    <font>
      <i/>
      <sz val="9"/>
      <color theme="1"/>
      <name val="Calibri"/>
      <family val="2"/>
      <scheme val="minor"/>
    </font>
    <font>
      <b/>
      <sz val="11"/>
      <color theme="0" tint="-0.249977111117893"/>
      <name val="Calibri"/>
      <family val="2"/>
      <scheme val="minor"/>
    </font>
    <font>
      <sz val="11"/>
      <color theme="0" tint="-0.249977111117893"/>
      <name val="Calibri"/>
      <family val="2"/>
      <scheme val="minor"/>
    </font>
    <font>
      <sz val="11"/>
      <color theme="0" tint="-0.34998626667073579"/>
      <name val="Calibri"/>
      <family val="2"/>
      <scheme val="minor"/>
    </font>
    <font>
      <b/>
      <sz val="10"/>
      <color theme="0" tint="-0.34998626667073579"/>
      <name val="Arial"/>
      <family val="2"/>
    </font>
    <font>
      <sz val="10"/>
      <color theme="0" tint="-0.34998626667073579"/>
      <name val="Arial"/>
      <family val="2"/>
    </font>
    <font>
      <b/>
      <sz val="10"/>
      <color theme="0" tint="-0.34998626667073579"/>
      <name val="Calibri"/>
      <family val="2"/>
      <scheme val="minor"/>
    </font>
    <font>
      <sz val="10"/>
      <color theme="0" tint="-0.34998626667073579"/>
      <name val="Calibri"/>
      <family val="2"/>
      <scheme val="minor"/>
    </font>
    <font>
      <sz val="8"/>
      <name val="Calibri"/>
      <family val="2"/>
      <scheme val="minor"/>
    </font>
    <font>
      <i/>
      <sz val="10"/>
      <color theme="1"/>
      <name val="Calibri"/>
      <family val="2"/>
      <scheme val="minor"/>
    </font>
    <font>
      <sz val="20"/>
      <color theme="1"/>
      <name val="Calibri"/>
      <family val="2"/>
      <scheme val="minor"/>
    </font>
    <font>
      <sz val="18"/>
      <color theme="1"/>
      <name val="Calibri"/>
      <family val="2"/>
      <scheme val="minor"/>
    </font>
    <font>
      <sz val="20"/>
      <name val="Calibri"/>
      <family val="2"/>
      <scheme val="minor"/>
    </font>
    <font>
      <sz val="11"/>
      <color rgb="FF414042"/>
      <name val="Georgia"/>
      <family val="1"/>
    </font>
    <font>
      <sz val="11"/>
      <color theme="2" tint="-0.249977111117893"/>
      <name val="Calibri"/>
      <family val="2"/>
      <scheme val="minor"/>
    </font>
    <font>
      <b/>
      <sz val="11"/>
      <color theme="2" tint="-0.249977111117893"/>
      <name val="Calibri"/>
      <family val="2"/>
      <scheme val="minor"/>
    </font>
    <font>
      <sz val="11"/>
      <color theme="0" tint="-0.499984740745262"/>
      <name val="Calibri"/>
      <family val="2"/>
      <scheme val="minor"/>
    </font>
    <font>
      <sz val="16"/>
      <color theme="0" tint="-0.499984740745262"/>
      <name val="Calibri"/>
      <family val="2"/>
      <scheme val="minor"/>
    </font>
    <font>
      <b/>
      <sz val="11"/>
      <color theme="0" tint="-0.499984740745262"/>
      <name val="Calibri"/>
      <family val="2"/>
      <scheme val="minor"/>
    </font>
    <font>
      <b/>
      <sz val="9"/>
      <color indexed="81"/>
      <name val="Tahoma"/>
      <charset val="1"/>
    </font>
    <font>
      <sz val="11"/>
      <color theme="0" tint="-0.34998626667073579"/>
      <name val="Arial"/>
      <family val="2"/>
    </font>
    <font>
      <b/>
      <sz val="10"/>
      <color theme="1"/>
      <name val="Calibri"/>
      <family val="2"/>
      <scheme val="minor"/>
    </font>
    <font>
      <b/>
      <i/>
      <sz val="11"/>
      <color rgb="FFFF000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theme="4" tint="0.39997558519241921"/>
        <bgColor indexed="64"/>
      </patternFill>
    </fill>
    <fill>
      <patternFill patternType="solid">
        <fgColor rgb="FFFFFF00"/>
        <bgColor indexed="64"/>
      </patternFill>
    </fill>
    <fill>
      <patternFill patternType="solid">
        <fgColor rgb="FFD9E1F2"/>
        <bgColor indexed="64"/>
      </patternFill>
    </fill>
    <fill>
      <patternFill patternType="solid">
        <fgColor rgb="FFC6EFCE"/>
      </patternFill>
    </fill>
    <fill>
      <patternFill patternType="solid">
        <fgColor rgb="FFF2F2F2"/>
      </patternFill>
    </fill>
    <fill>
      <patternFill patternType="solid">
        <fgColor rgb="FFFFFFFF"/>
        <bgColor indexed="64"/>
      </patternFill>
    </fill>
    <fill>
      <patternFill patternType="solid">
        <fgColor rgb="FFD9E2F3"/>
        <bgColor indexed="64"/>
      </patternFill>
    </fill>
    <fill>
      <patternFill patternType="solid">
        <fgColor rgb="FF7F7F7F"/>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E3E9F5"/>
        <bgColor indexed="64"/>
      </patternFill>
    </fill>
  </fills>
  <borders count="9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theme="0"/>
      </right>
      <top/>
      <bottom/>
      <diagonal/>
    </border>
    <border>
      <left style="medium">
        <color auto="1"/>
      </left>
      <right/>
      <top style="medium">
        <color auto="1"/>
      </top>
      <bottom style="medium">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style="medium">
        <color indexed="64"/>
      </left>
      <right/>
      <top style="medium">
        <color indexed="64"/>
      </top>
      <bottom/>
      <diagonal/>
    </border>
    <border>
      <left style="thin">
        <color auto="1"/>
      </left>
      <right style="medium">
        <color indexed="64"/>
      </right>
      <top style="medium">
        <color indexed="64"/>
      </top>
      <bottom/>
      <diagonal/>
    </border>
    <border>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theme="6"/>
      </left>
      <right/>
      <top/>
      <bottom/>
      <diagonal/>
    </border>
    <border>
      <left/>
      <right/>
      <top/>
      <bottom style="thin">
        <color indexed="64"/>
      </bottom>
      <diagonal/>
    </border>
    <border>
      <left/>
      <right/>
      <top/>
      <bottom style="double">
        <color indexed="64"/>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indexed="64"/>
      </left>
      <right style="medium">
        <color indexed="64"/>
      </right>
      <top style="medium">
        <color indexed="64"/>
      </top>
      <bottom style="thin">
        <color auto="1"/>
      </bottom>
      <diagonal/>
    </border>
    <border>
      <left/>
      <right style="thin">
        <color indexed="64"/>
      </right>
      <top style="thin">
        <color indexed="64"/>
      </top>
      <bottom style="thin">
        <color indexed="64"/>
      </bottom>
      <diagonal/>
    </border>
    <border>
      <left style="thin">
        <color auto="1"/>
      </left>
      <right style="thin">
        <color auto="1"/>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indexed="8"/>
      </right>
      <top style="thin">
        <color indexed="8"/>
      </top>
      <bottom style="thin">
        <color indexed="8"/>
      </bottom>
      <diagonal/>
    </border>
    <border>
      <left/>
      <right style="thin">
        <color auto="1"/>
      </right>
      <top style="medium">
        <color indexed="64"/>
      </top>
      <bottom style="medium">
        <color indexed="64"/>
      </bottom>
      <diagonal/>
    </border>
    <border>
      <left style="thin">
        <color auto="1"/>
      </left>
      <right/>
      <top style="medium">
        <color auto="1"/>
      </top>
      <bottom/>
      <diagonal/>
    </border>
    <border>
      <left style="thin">
        <color auto="1"/>
      </left>
      <right/>
      <top style="medium">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medium">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diagonal/>
    </border>
    <border>
      <left/>
      <right style="medium">
        <color indexed="64"/>
      </right>
      <top style="thin">
        <color auto="1"/>
      </top>
      <bottom/>
      <diagonal/>
    </border>
    <border>
      <left style="thin">
        <color auto="1"/>
      </left>
      <right/>
      <top style="thin">
        <color auto="1"/>
      </top>
      <bottom/>
      <diagonal/>
    </border>
    <border>
      <left style="thin">
        <color auto="1"/>
      </left>
      <right/>
      <top/>
      <bottom style="medium">
        <color auto="1"/>
      </bottom>
      <diagonal/>
    </border>
    <border>
      <left style="thin">
        <color indexed="64"/>
      </left>
      <right style="medium">
        <color indexed="64"/>
      </right>
      <top style="medium">
        <color auto="1"/>
      </top>
      <bottom style="thin">
        <color auto="1"/>
      </bottom>
      <diagonal/>
    </border>
    <border>
      <left style="thin">
        <color indexed="64"/>
      </left>
      <right style="thin">
        <color auto="1"/>
      </right>
      <top style="thin">
        <color indexed="64"/>
      </top>
      <bottom style="medium">
        <color indexed="64"/>
      </bottom>
      <diagonal/>
    </border>
    <border>
      <left/>
      <right style="medium">
        <color indexed="64"/>
      </right>
      <top/>
      <bottom style="thin">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auto="1"/>
      </left>
      <right/>
      <top style="thin">
        <color indexed="8"/>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indexed="64"/>
      </bottom>
      <diagonal/>
    </border>
  </borders>
  <cellStyleXfs count="64">
    <xf numFmtId="0" fontId="0" fillId="0" borderId="0"/>
    <xf numFmtId="44" fontId="1" fillId="0" borderId="0" applyFont="0" applyFill="0" applyBorder="0" applyAlignment="0" applyProtection="0"/>
    <xf numFmtId="0" fontId="7" fillId="0" borderId="0" applyNumberForma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6" borderId="1" applyNumberFormat="0" applyAlignment="0" applyProtection="0">
      <alignment horizontal="centerContinuous" vertical="top" wrapText="1"/>
    </xf>
    <xf numFmtId="0" fontId="1" fillId="7" borderId="1" applyNumberFormat="0" applyAlignment="0" applyProtection="0">
      <alignment horizontal="centerContinuous" vertical="top"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8" fillId="0" borderId="0"/>
    <xf numFmtId="0" fontId="30" fillId="0" borderId="0" applyNumberFormat="0" applyFill="0" applyBorder="0" applyAlignment="0" applyProtection="0">
      <alignment vertical="top"/>
      <protection locked="0"/>
    </xf>
    <xf numFmtId="44" fontId="27" fillId="0" borderId="0" applyFont="0" applyFill="0" applyBorder="0" applyAlignment="0" applyProtection="0"/>
    <xf numFmtId="44" fontId="27" fillId="0" borderId="0" applyFont="0" applyFill="0" applyBorder="0" applyAlignment="0" applyProtection="0"/>
    <xf numFmtId="0" fontId="33" fillId="0" borderId="0"/>
    <xf numFmtId="0" fontId="35" fillId="12" borderId="0" applyNumberFormat="0" applyBorder="0" applyAlignment="0" applyProtection="0"/>
    <xf numFmtId="0" fontId="13" fillId="0" borderId="0"/>
    <xf numFmtId="0" fontId="41" fillId="0" borderId="0">
      <alignment vertical="top"/>
    </xf>
    <xf numFmtId="0" fontId="1"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1" fillId="0" borderId="0"/>
    <xf numFmtId="0" fontId="39" fillId="0" borderId="0"/>
    <xf numFmtId="0" fontId="10" fillId="0" borderId="0"/>
    <xf numFmtId="0" fontId="10" fillId="0" borderId="0"/>
    <xf numFmtId="0" fontId="1" fillId="0" borderId="0"/>
    <xf numFmtId="0" fontId="10" fillId="0" borderId="0"/>
    <xf numFmtId="0" fontId="10" fillId="0" borderId="0"/>
    <xf numFmtId="9" fontId="10" fillId="0" borderId="0" applyFont="0" applyFill="0" applyBorder="0" applyAlignment="0" applyProtection="0"/>
    <xf numFmtId="0" fontId="45" fillId="0" borderId="0" applyNumberFormat="0" applyFill="0" applyBorder="0" applyAlignment="0" applyProtection="0">
      <alignment vertical="top"/>
      <protection locked="0"/>
    </xf>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44" fillId="0" borderId="0" applyNumberFormat="0" applyFill="0" applyBorder="0" applyAlignment="0" applyProtection="0"/>
    <xf numFmtId="43" fontId="10" fillId="0" borderId="0" applyFont="0" applyFill="0" applyBorder="0" applyAlignment="0" applyProtection="0"/>
    <xf numFmtId="0" fontId="1" fillId="0" borderId="0"/>
    <xf numFmtId="0" fontId="1" fillId="0" borderId="0"/>
    <xf numFmtId="0" fontId="46" fillId="0" borderId="0" applyNumberFormat="0" applyFill="0" applyBorder="0" applyAlignment="0" applyProtection="0">
      <alignment vertical="top"/>
      <protection locked="0"/>
    </xf>
    <xf numFmtId="43" fontId="1"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 fillId="0" borderId="0"/>
    <xf numFmtId="0" fontId="1" fillId="0" borderId="0"/>
    <xf numFmtId="0" fontId="1" fillId="0" borderId="0"/>
    <xf numFmtId="0" fontId="10" fillId="0" borderId="0"/>
    <xf numFmtId="9" fontId="10" fillId="0" borderId="0" applyFont="0" applyFill="0" applyBorder="0" applyAlignment="0" applyProtection="0"/>
    <xf numFmtId="0" fontId="10" fillId="0" borderId="0"/>
    <xf numFmtId="0" fontId="10" fillId="0" borderId="0"/>
    <xf numFmtId="0" fontId="17" fillId="0" borderId="0"/>
    <xf numFmtId="0" fontId="50" fillId="0" borderId="0"/>
    <xf numFmtId="0" fontId="51" fillId="13" borderId="39" applyNumberFormat="0" applyAlignment="0" applyProtection="0"/>
    <xf numFmtId="0" fontId="1" fillId="17" borderId="0" applyNumberFormat="0" applyBorder="0" applyAlignment="0" applyProtection="0"/>
  </cellStyleXfs>
  <cellXfs count="1202">
    <xf numFmtId="0" fontId="0" fillId="0" borderId="0" xfId="0"/>
    <xf numFmtId="0" fontId="2" fillId="2" borderId="0" xfId="0" applyFont="1" applyFill="1"/>
    <xf numFmtId="0" fontId="9" fillId="2" borderId="0" xfId="2" applyFont="1" applyFill="1" applyBorder="1" applyAlignment="1">
      <alignment horizontal="center" vertical="center"/>
    </xf>
    <xf numFmtId="0" fontId="8" fillId="2" borderId="0" xfId="2" applyFont="1" applyFill="1" applyBorder="1" applyAlignment="1">
      <alignment horizontal="center" vertical="center"/>
    </xf>
    <xf numFmtId="0" fontId="6" fillId="2" borderId="0" xfId="0" applyFont="1" applyFill="1" applyAlignment="1">
      <alignment horizontal="center" vertical="center"/>
    </xf>
    <xf numFmtId="0" fontId="7" fillId="2" borderId="0" xfId="2" applyFill="1" applyBorder="1" applyAlignment="1">
      <alignment vertical="center" wrapText="1"/>
    </xf>
    <xf numFmtId="0" fontId="0" fillId="2" borderId="11" xfId="0" applyFill="1" applyBorder="1"/>
    <xf numFmtId="0" fontId="11" fillId="2" borderId="0" xfId="0" applyFont="1" applyFill="1" applyAlignment="1">
      <alignment vertical="center"/>
    </xf>
    <xf numFmtId="0" fontId="0" fillId="2" borderId="0" xfId="0" applyFill="1" applyBorder="1" applyAlignment="1">
      <alignment wrapText="1"/>
    </xf>
    <xf numFmtId="0" fontId="2" fillId="2" borderId="7" xfId="0" applyFont="1" applyFill="1" applyBorder="1" applyAlignment="1">
      <alignment horizontal="center" vertical="center"/>
    </xf>
    <xf numFmtId="0" fontId="14" fillId="0" borderId="7" xfId="0" applyFont="1" applyBorder="1" applyAlignment="1">
      <alignment horizontal="center" vertical="center" wrapText="1"/>
    </xf>
    <xf numFmtId="0" fontId="4" fillId="0" borderId="0" xfId="0" applyFont="1" applyFill="1" applyBorder="1"/>
    <xf numFmtId="0" fontId="4" fillId="0" borderId="0" xfId="0" applyFont="1" applyFill="1" applyBorder="1" applyAlignment="1">
      <alignment wrapText="1"/>
    </xf>
    <xf numFmtId="0" fontId="10" fillId="3" borderId="0" xfId="3" applyFont="1" applyFill="1" applyProtection="1">
      <protection locked="0"/>
    </xf>
    <xf numFmtId="0" fontId="10" fillId="3" borderId="0" xfId="3" applyFont="1" applyFill="1" applyAlignment="1" applyProtection="1">
      <alignment horizontal="center"/>
      <protection locked="0"/>
    </xf>
    <xf numFmtId="0" fontId="10" fillId="0" borderId="0" xfId="3" applyFont="1" applyProtection="1">
      <protection locked="0"/>
    </xf>
    <xf numFmtId="164" fontId="10" fillId="0" borderId="0" xfId="3" applyNumberFormat="1" applyFont="1" applyProtection="1">
      <protection locked="0"/>
    </xf>
    <xf numFmtId="42" fontId="10" fillId="0" borderId="0" xfId="3" applyNumberFormat="1" applyFont="1" applyProtection="1">
      <protection locked="0"/>
    </xf>
    <xf numFmtId="165" fontId="10" fillId="0" borderId="0" xfId="3" applyNumberFormat="1" applyFont="1" applyProtection="1">
      <protection locked="0"/>
    </xf>
    <xf numFmtId="0" fontId="10" fillId="0" borderId="0" xfId="3" applyFont="1"/>
    <xf numFmtId="0" fontId="10" fillId="0" borderId="0" xfId="3" applyFont="1" applyBorder="1" applyProtection="1">
      <protection locked="0"/>
    </xf>
    <xf numFmtId="0" fontId="10" fillId="0" borderId="0" xfId="3"/>
    <xf numFmtId="0" fontId="15" fillId="0" borderId="0" xfId="3" applyFont="1" applyAlignment="1" applyProtection="1">
      <alignment horizontal="center" wrapText="1"/>
      <protection locked="0"/>
    </xf>
    <xf numFmtId="0" fontId="15" fillId="0" borderId="0" xfId="3" applyFont="1" applyAlignment="1" applyProtection="1">
      <alignment horizontal="center"/>
      <protection locked="0"/>
    </xf>
    <xf numFmtId="165" fontId="10" fillId="0" borderId="0" xfId="3" applyNumberFormat="1" applyFont="1" applyBorder="1" applyProtection="1">
      <protection locked="0"/>
    </xf>
    <xf numFmtId="0" fontId="0" fillId="2" borderId="0" xfId="0" applyFill="1" applyBorder="1" applyAlignment="1">
      <alignment horizontal="center" vertical="center"/>
    </xf>
    <xf numFmtId="0" fontId="0" fillId="2" borderId="0" xfId="0" applyFill="1" applyBorder="1" applyAlignment="1">
      <alignment horizontal="right"/>
    </xf>
    <xf numFmtId="0" fontId="0" fillId="2" borderId="0" xfId="0" applyFont="1" applyFill="1" applyBorder="1" applyAlignment="1">
      <alignment horizontal="right"/>
    </xf>
    <xf numFmtId="0" fontId="0" fillId="2" borderId="0" xfId="0" applyFill="1" applyBorder="1" applyAlignment="1">
      <alignment vertical="top"/>
    </xf>
    <xf numFmtId="0" fontId="0" fillId="0" borderId="0" xfId="0" applyFont="1"/>
    <xf numFmtId="0" fontId="3" fillId="5" borderId="0" xfId="0" applyFont="1" applyFill="1"/>
    <xf numFmtId="0" fontId="0" fillId="0" borderId="0" xfId="0" applyFont="1" applyFill="1" applyBorder="1"/>
    <xf numFmtId="0" fontId="0" fillId="2" borderId="0" xfId="0" applyFill="1" applyBorder="1" applyAlignment="1">
      <alignment horizontal="right" vertical="center"/>
    </xf>
    <xf numFmtId="0" fontId="21" fillId="5" borderId="0" xfId="0" applyFont="1" applyFill="1" applyBorder="1" applyAlignment="1">
      <alignment horizontal="center" vertical="center"/>
    </xf>
    <xf numFmtId="0" fontId="0" fillId="0" borderId="0" xfId="0" applyFont="1" applyBorder="1"/>
    <xf numFmtId="0" fontId="2" fillId="0" borderId="0" xfId="0" applyFont="1"/>
    <xf numFmtId="9" fontId="1" fillId="6" borderId="1" xfId="9" applyNumberFormat="1" applyAlignment="1"/>
    <xf numFmtId="0" fontId="0" fillId="0" borderId="0" xfId="0" applyAlignment="1">
      <alignment horizontal="right"/>
    </xf>
    <xf numFmtId="0" fontId="24" fillId="2" borderId="0" xfId="0" applyFont="1" applyFill="1" applyBorder="1"/>
    <xf numFmtId="0" fontId="24" fillId="0" borderId="0" xfId="0" applyFont="1"/>
    <xf numFmtId="168" fontId="4" fillId="6" borderId="1" xfId="9" applyNumberFormat="1" applyFont="1" applyAlignment="1"/>
    <xf numFmtId="0" fontId="4" fillId="0" borderId="0" xfId="0" applyFont="1" applyAlignment="1">
      <alignment horizontal="right"/>
    </xf>
    <xf numFmtId="0" fontId="0" fillId="2" borderId="0" xfId="0" applyFill="1" applyBorder="1" applyAlignment="1">
      <alignment horizontal="center"/>
    </xf>
    <xf numFmtId="0" fontId="2" fillId="2" borderId="0" xfId="0" applyFont="1" applyFill="1" applyBorder="1" applyAlignment="1">
      <alignment horizontal="center" vertical="center"/>
    </xf>
    <xf numFmtId="0" fontId="4" fillId="2" borderId="0" xfId="0" applyFont="1" applyFill="1" applyBorder="1" applyAlignment="1">
      <alignment horizontal="right" vertical="center"/>
    </xf>
    <xf numFmtId="0" fontId="0" fillId="2" borderId="0" xfId="0" applyFill="1"/>
    <xf numFmtId="0" fontId="0" fillId="2" borderId="0" xfId="0" applyFill="1" applyBorder="1"/>
    <xf numFmtId="0" fontId="0" fillId="2" borderId="0" xfId="0" applyFill="1" applyBorder="1" applyAlignment="1">
      <alignment vertical="center" wrapText="1"/>
    </xf>
    <xf numFmtId="0" fontId="12" fillId="0" borderId="0" xfId="2" applyFont="1" applyFill="1" applyBorder="1" applyAlignment="1">
      <alignment horizontal="center" vertical="center"/>
    </xf>
    <xf numFmtId="0" fontId="0" fillId="0" borderId="0" xfId="0" applyFill="1" applyBorder="1" applyAlignment="1">
      <alignment wrapText="1"/>
    </xf>
    <xf numFmtId="0" fontId="1" fillId="6" borderId="1" xfId="9" applyAlignment="1">
      <alignment vertical="center" wrapText="1"/>
    </xf>
    <xf numFmtId="0" fontId="15" fillId="0" borderId="7" xfId="0" applyFont="1" applyBorder="1" applyAlignment="1">
      <alignment horizontal="center" vertical="center" wrapText="1"/>
    </xf>
    <xf numFmtId="0" fontId="0" fillId="0" borderId="0" xfId="0" applyFont="1"/>
    <xf numFmtId="0" fontId="0" fillId="0" borderId="0" xfId="0" applyFont="1"/>
    <xf numFmtId="49" fontId="18" fillId="0" borderId="0" xfId="0" applyNumberFormat="1" applyFont="1" applyBorder="1"/>
    <xf numFmtId="0" fontId="3" fillId="5" borderId="0" xfId="0" applyFont="1" applyFill="1" applyBorder="1"/>
    <xf numFmtId="0" fontId="3" fillId="5" borderId="0" xfId="0" applyFont="1" applyFill="1" applyBorder="1" applyAlignment="1">
      <alignment wrapText="1"/>
    </xf>
    <xf numFmtId="0" fontId="17" fillId="0" borderId="0" xfId="0" applyFont="1" applyBorder="1"/>
    <xf numFmtId="0" fontId="29" fillId="2" borderId="0" xfId="17" applyFont="1" applyFill="1"/>
    <xf numFmtId="0" fontId="29" fillId="2" borderId="0" xfId="17" applyFont="1" applyFill="1" applyBorder="1"/>
    <xf numFmtId="170" fontId="29" fillId="2" borderId="0" xfId="17" applyNumberFormat="1" applyFont="1" applyFill="1" applyBorder="1"/>
    <xf numFmtId="168" fontId="0" fillId="0" borderId="0" xfId="7" applyNumberFormat="1" applyFont="1" applyFill="1" applyBorder="1" applyAlignment="1">
      <alignment horizontal="centerContinuous"/>
    </xf>
    <xf numFmtId="0" fontId="0" fillId="0" borderId="0" xfId="0" applyFont="1" applyFill="1" applyBorder="1" applyAlignment="1">
      <alignment vertical="top"/>
    </xf>
    <xf numFmtId="14" fontId="0"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168" fontId="0" fillId="0" borderId="2" xfId="7" applyNumberFormat="1" applyFont="1" applyFill="1" applyBorder="1" applyAlignment="1">
      <alignment horizontal="center" vertical="center" wrapText="1"/>
    </xf>
    <xf numFmtId="42" fontId="0" fillId="0" borderId="2" xfId="0" applyNumberFormat="1" applyFont="1" applyFill="1" applyBorder="1" applyAlignment="1">
      <alignment horizontal="center" vertical="center" wrapText="1"/>
    </xf>
    <xf numFmtId="42" fontId="0" fillId="0" borderId="0" xfId="0" applyNumberFormat="1" applyFont="1" applyFill="1" applyBorder="1" applyAlignment="1">
      <alignment horizontal="center" vertical="center" wrapText="1"/>
    </xf>
    <xf numFmtId="14" fontId="0" fillId="0" borderId="0" xfId="0" applyNumberFormat="1" applyFont="1" applyFill="1" applyBorder="1" applyAlignment="1">
      <alignment horizontal="center" vertical="center" wrapText="1"/>
    </xf>
    <xf numFmtId="168" fontId="0" fillId="0" borderId="0" xfId="7" applyNumberFormat="1" applyFont="1" applyFill="1" applyBorder="1" applyAlignment="1">
      <alignment horizontal="center" vertical="center" wrapText="1"/>
    </xf>
    <xf numFmtId="166" fontId="0" fillId="0" borderId="2" xfId="7" applyNumberFormat="1" applyFont="1" applyFill="1" applyBorder="1" applyAlignment="1">
      <alignment horizontal="center" vertical="center" wrapText="1"/>
    </xf>
    <xf numFmtId="9" fontId="0" fillId="0" borderId="2" xfId="0" applyNumberFormat="1" applyFont="1" applyFill="1" applyBorder="1" applyAlignment="1">
      <alignment horizontal="center" vertical="center" wrapText="1"/>
    </xf>
    <xf numFmtId="0" fontId="29" fillId="2" borderId="0" xfId="17" applyFont="1" applyFill="1" applyBorder="1" applyAlignment="1"/>
    <xf numFmtId="0" fontId="7" fillId="0" borderId="0" xfId="2" applyAlignment="1" applyProtection="1"/>
    <xf numFmtId="3" fontId="29" fillId="2" borderId="0" xfId="17" applyNumberFormat="1" applyFont="1" applyFill="1" applyBorder="1" applyAlignment="1"/>
    <xf numFmtId="0" fontId="29" fillId="0" borderId="0" xfId="17" applyFont="1" applyFill="1" applyBorder="1"/>
    <xf numFmtId="0" fontId="31" fillId="0" borderId="0" xfId="17" applyFont="1" applyFill="1" applyBorder="1" applyAlignment="1">
      <alignment horizontal="center" wrapText="1"/>
    </xf>
    <xf numFmtId="170" fontId="29" fillId="0" borderId="0" xfId="17" applyNumberFormat="1" applyFont="1" applyFill="1" applyBorder="1"/>
    <xf numFmtId="0" fontId="29" fillId="0" borderId="0" xfId="17" applyFont="1" applyFill="1"/>
    <xf numFmtId="171" fontId="29" fillId="0" borderId="0" xfId="17" applyNumberFormat="1" applyFont="1" applyFill="1"/>
    <xf numFmtId="172" fontId="29" fillId="0" borderId="0" xfId="17" applyNumberFormat="1" applyFont="1" applyFill="1" applyBorder="1"/>
    <xf numFmtId="0" fontId="29" fillId="0" borderId="0" xfId="17" applyFont="1" applyFill="1" applyBorder="1" applyAlignment="1"/>
    <xf numFmtId="3" fontId="29" fillId="0" borderId="0" xfId="17" applyNumberFormat="1" applyFont="1" applyFill="1" applyBorder="1" applyAlignment="1"/>
    <xf numFmtId="0" fontId="7" fillId="0" borderId="0" xfId="2" applyFill="1" applyAlignment="1" applyProtection="1"/>
    <xf numFmtId="9" fontId="0" fillId="0" borderId="0" xfId="0" applyNumberFormat="1" applyFont="1" applyFill="1" applyBorder="1" applyAlignment="1">
      <alignment horizontal="center" vertical="center" wrapText="1"/>
    </xf>
    <xf numFmtId="0" fontId="3" fillId="5" borderId="0" xfId="0" applyFont="1" applyFill="1" applyAlignment="1">
      <alignment wrapText="1"/>
    </xf>
    <xf numFmtId="170" fontId="0" fillId="0" borderId="0" xfId="0" applyNumberFormat="1" applyFont="1"/>
    <xf numFmtId="0" fontId="0" fillId="0" borderId="2" xfId="0" applyBorder="1"/>
    <xf numFmtId="167" fontId="10" fillId="6" borderId="6" xfId="6" applyNumberFormat="1" applyFont="1" applyFill="1" applyBorder="1" applyAlignment="1" applyProtection="1">
      <alignment horizontal="right" vertical="center"/>
    </xf>
    <xf numFmtId="168" fontId="10" fillId="6" borderId="9" xfId="5" applyNumberFormat="1" applyFont="1" applyFill="1" applyBorder="1" applyAlignment="1" applyProtection="1">
      <alignment horizontal="right" vertical="center"/>
      <protection locked="0"/>
    </xf>
    <xf numFmtId="167" fontId="10" fillId="6" borderId="9" xfId="6" applyNumberFormat="1" applyFont="1" applyFill="1" applyBorder="1" applyAlignment="1" applyProtection="1">
      <alignment horizontal="right" vertical="center"/>
      <protection locked="0"/>
    </xf>
    <xf numFmtId="168" fontId="4" fillId="6" borderId="1" xfId="9" applyNumberFormat="1" applyFont="1" applyFill="1" applyAlignment="1"/>
    <xf numFmtId="0" fontId="0" fillId="0" borderId="0" xfId="0" applyAlignment="1">
      <alignment vertical="center" wrapText="1"/>
    </xf>
    <xf numFmtId="0" fontId="3" fillId="5" borderId="0" xfId="0" applyFont="1" applyFill="1" applyAlignment="1">
      <alignment horizontal="left"/>
    </xf>
    <xf numFmtId="0" fontId="0" fillId="0" borderId="0" xfId="0" applyFont="1" applyAlignment="1">
      <alignment horizontal="left"/>
    </xf>
    <xf numFmtId="0" fontId="0" fillId="6" borderId="1" xfId="9" applyFont="1" applyAlignment="1">
      <alignment vertical="center" wrapText="1"/>
    </xf>
    <xf numFmtId="169" fontId="1" fillId="0" borderId="0" xfId="9" applyNumberFormat="1" applyFill="1" applyBorder="1" applyAlignment="1">
      <alignment vertical="center"/>
    </xf>
    <xf numFmtId="0" fontId="32" fillId="0" borderId="0" xfId="0" applyFont="1" applyFill="1" applyBorder="1" applyAlignment="1"/>
    <xf numFmtId="0" fontId="22" fillId="0" borderId="0" xfId="0" applyFont="1" applyFill="1" applyBorder="1" applyAlignment="1">
      <alignment horizontal="left" vertical="center"/>
    </xf>
    <xf numFmtId="0" fontId="0" fillId="0" borderId="0" xfId="0" applyFill="1" applyBorder="1" applyAlignment="1">
      <alignment horizontal="right"/>
    </xf>
    <xf numFmtId="3" fontId="0" fillId="0" borderId="0" xfId="0" applyNumberFormat="1" applyFont="1" applyFill="1" applyBorder="1" applyAlignment="1">
      <alignment horizontal="center" vertical="center" wrapText="1"/>
    </xf>
    <xf numFmtId="166" fontId="0" fillId="0" borderId="0" xfId="7" applyNumberFormat="1" applyFont="1" applyFill="1" applyBorder="1" applyAlignment="1">
      <alignment horizontal="center" vertical="center" wrapText="1"/>
    </xf>
    <xf numFmtId="0" fontId="0" fillId="0" borderId="0" xfId="0"/>
    <xf numFmtId="0" fontId="0" fillId="0" borderId="0" xfId="0" applyFont="1"/>
    <xf numFmtId="0" fontId="10" fillId="0" borderId="0" xfId="3" applyFont="1" applyFill="1" applyProtection="1">
      <protection locked="0"/>
    </xf>
    <xf numFmtId="0" fontId="34" fillId="0" borderId="36" xfId="0" applyFont="1" applyBorder="1" applyAlignment="1">
      <alignment horizontal="right" vertical="center"/>
    </xf>
    <xf numFmtId="0" fontId="0" fillId="0" borderId="0" xfId="0"/>
    <xf numFmtId="0" fontId="0" fillId="0" borderId="0" xfId="0" applyBorder="1"/>
    <xf numFmtId="0" fontId="10" fillId="0" borderId="0" xfId="0" applyFont="1" applyBorder="1"/>
    <xf numFmtId="0" fontId="10" fillId="0" borderId="0" xfId="0" applyFont="1" applyFill="1" applyBorder="1"/>
    <xf numFmtId="0" fontId="4" fillId="0" borderId="0" xfId="0" applyFont="1"/>
    <xf numFmtId="0" fontId="0" fillId="0" borderId="0" xfId="0" applyFill="1"/>
    <xf numFmtId="0" fontId="40" fillId="0" borderId="0" xfId="0" applyFont="1"/>
    <xf numFmtId="0" fontId="2" fillId="0" borderId="0" xfId="0" applyFont="1" applyFill="1" applyBorder="1"/>
    <xf numFmtId="0" fontId="0" fillId="0" borderId="0" xfId="0" applyFill="1" applyBorder="1"/>
    <xf numFmtId="0" fontId="15" fillId="0" borderId="0" xfId="0" applyFont="1" applyFill="1" applyBorder="1"/>
    <xf numFmtId="0" fontId="36" fillId="0" borderId="0" xfId="0" applyFont="1" applyFill="1" applyBorder="1" applyAlignment="1">
      <alignment horizontal="center"/>
    </xf>
    <xf numFmtId="3" fontId="40" fillId="0" borderId="0" xfId="0" applyNumberFormat="1" applyFont="1" applyFill="1" applyBorder="1"/>
    <xf numFmtId="0" fontId="43" fillId="0" borderId="0" xfId="0" applyFont="1" applyFill="1" applyBorder="1"/>
    <xf numFmtId="0" fontId="0" fillId="0" borderId="0" xfId="0" applyAlignment="1">
      <alignment wrapText="1"/>
    </xf>
    <xf numFmtId="9" fontId="0" fillId="0" borderId="0" xfId="8" applyFont="1"/>
    <xf numFmtId="0" fontId="36" fillId="0" borderId="0" xfId="0" applyFont="1" applyFill="1" applyBorder="1" applyAlignment="1">
      <alignment horizontal="right"/>
    </xf>
    <xf numFmtId="0" fontId="15" fillId="0" borderId="0" xfId="0" applyFont="1" applyFill="1" applyBorder="1" applyAlignment="1">
      <alignment horizontal="right"/>
    </xf>
    <xf numFmtId="0" fontId="33" fillId="0" borderId="0" xfId="21"/>
    <xf numFmtId="42" fontId="0" fillId="0" borderId="0" xfId="0" applyNumberFormat="1" applyFill="1" applyBorder="1" applyAlignment="1"/>
    <xf numFmtId="176" fontId="0" fillId="0" borderId="0" xfId="6" applyNumberFormat="1" applyFont="1" applyFill="1" applyBorder="1" applyAlignment="1"/>
    <xf numFmtId="8" fontId="10" fillId="3" borderId="0" xfId="3" applyNumberFormat="1" applyFont="1" applyFill="1" applyProtection="1">
      <protection locked="0"/>
    </xf>
    <xf numFmtId="9" fontId="10" fillId="3" borderId="0" xfId="8" applyFont="1" applyFill="1" applyProtection="1">
      <protection locked="0"/>
    </xf>
    <xf numFmtId="0" fontId="10" fillId="0" borderId="0" xfId="3" applyFill="1"/>
    <xf numFmtId="0" fontId="10" fillId="0" borderId="0" xfId="3" applyFont="1" applyFill="1" applyBorder="1" applyProtection="1">
      <protection locked="0"/>
    </xf>
    <xf numFmtId="0" fontId="15" fillId="0" borderId="0" xfId="0" applyFont="1" applyFill="1" applyBorder="1" applyAlignment="1">
      <alignment horizontal="center"/>
    </xf>
    <xf numFmtId="0" fontId="42" fillId="0" borderId="0" xfId="0" quotePrefix="1" applyFont="1" applyFill="1" applyBorder="1"/>
    <xf numFmtId="41" fontId="0" fillId="0" borderId="0" xfId="0" applyNumberFormat="1" applyFill="1" applyBorder="1" applyAlignment="1">
      <alignment horizontal="right"/>
    </xf>
    <xf numFmtId="174" fontId="10" fillId="0" borderId="0" xfId="6" applyNumberFormat="1" applyFont="1" applyFill="1" applyBorder="1"/>
    <xf numFmtId="41" fontId="0" fillId="0" borderId="0" xfId="0" applyNumberFormat="1" applyFill="1" applyBorder="1"/>
    <xf numFmtId="0" fontId="40" fillId="0" borderId="0" xfId="0" applyFont="1" applyFill="1" applyBorder="1"/>
    <xf numFmtId="0" fontId="10" fillId="0" borderId="0" xfId="3" applyFill="1" applyBorder="1"/>
    <xf numFmtId="0" fontId="10" fillId="0" borderId="0" xfId="3" applyFont="1" applyFill="1" applyBorder="1"/>
    <xf numFmtId="164" fontId="10" fillId="0" borderId="0" xfId="3" applyNumberFormat="1" applyFont="1" applyFill="1" applyBorder="1" applyProtection="1">
      <protection locked="0"/>
    </xf>
    <xf numFmtId="0" fontId="38" fillId="0" borderId="0" xfId="0" applyFont="1" applyFill="1" applyBorder="1" applyAlignment="1">
      <alignment horizontal="right"/>
    </xf>
    <xf numFmtId="173" fontId="40" fillId="0" borderId="0" xfId="0" applyNumberFormat="1" applyFont="1" applyFill="1" applyBorder="1"/>
    <xf numFmtId="1" fontId="40" fillId="0" borderId="0" xfId="0" applyNumberFormat="1" applyFont="1" applyFill="1" applyBorder="1"/>
    <xf numFmtId="41" fontId="15" fillId="0" borderId="0" xfId="0" applyNumberFormat="1" applyFont="1" applyFill="1" applyBorder="1" applyAlignment="1">
      <alignment horizontal="right"/>
    </xf>
    <xf numFmtId="175" fontId="40" fillId="0" borderId="0" xfId="0" applyNumberFormat="1" applyFont="1" applyFill="1" applyBorder="1"/>
    <xf numFmtId="0" fontId="40" fillId="0" borderId="0" xfId="0" applyFont="1" applyFill="1" applyBorder="1" applyAlignment="1">
      <alignment horizontal="right"/>
    </xf>
    <xf numFmtId="0" fontId="43" fillId="0" borderId="0" xfId="0" quotePrefix="1" applyFont="1" applyFill="1" applyBorder="1"/>
    <xf numFmtId="175" fontId="0" fillId="0" borderId="0" xfId="0" applyNumberFormat="1" applyFill="1" applyBorder="1"/>
    <xf numFmtId="0" fontId="0" fillId="0" borderId="0" xfId="0" quotePrefix="1" applyFill="1" applyBorder="1"/>
    <xf numFmtId="0" fontId="24" fillId="0" borderId="0" xfId="0" applyFont="1" applyFill="1" applyBorder="1"/>
    <xf numFmtId="0" fontId="47" fillId="0" borderId="0" xfId="0" applyFont="1" applyFill="1" applyBorder="1"/>
    <xf numFmtId="0" fontId="0" fillId="0" borderId="0" xfId="0" applyFill="1" applyBorder="1" applyAlignment="1">
      <alignment horizontal="left"/>
    </xf>
    <xf numFmtId="0" fontId="48" fillId="0" borderId="0" xfId="0" applyFont="1" applyFill="1" applyBorder="1"/>
    <xf numFmtId="0" fontId="15" fillId="0" borderId="0" xfId="0" applyFont="1" applyFill="1" applyBorder="1" applyAlignment="1">
      <alignment horizontal="right" indent="1"/>
    </xf>
    <xf numFmtId="0" fontId="10" fillId="0" borderId="0" xfId="0" applyFont="1" applyFill="1" applyBorder="1" applyAlignment="1"/>
    <xf numFmtId="0" fontId="43" fillId="0" borderId="0" xfId="0" applyFont="1" applyFill="1" applyBorder="1" applyAlignment="1">
      <alignment horizontal="right" indent="1"/>
    </xf>
    <xf numFmtId="0" fontId="40" fillId="0" borderId="0" xfId="0" applyFont="1" applyFill="1" applyBorder="1" applyAlignment="1">
      <alignment horizontal="right" indent="1"/>
    </xf>
    <xf numFmtId="0" fontId="37" fillId="0" borderId="0" xfId="0" applyFont="1" applyFill="1" applyBorder="1" applyAlignment="1">
      <alignment horizontal="left" indent="1"/>
    </xf>
    <xf numFmtId="0" fontId="38" fillId="0" borderId="0" xfId="0" applyFont="1" applyFill="1" applyBorder="1" applyAlignment="1">
      <alignment horizontal="left" indent="1"/>
    </xf>
    <xf numFmtId="0" fontId="42" fillId="0" borderId="0" xfId="0" applyFont="1" applyFill="1" applyBorder="1"/>
    <xf numFmtId="2" fontId="0" fillId="0" borderId="0" xfId="0" applyNumberFormat="1" applyFill="1" applyBorder="1"/>
    <xf numFmtId="165" fontId="10" fillId="0" borderId="0" xfId="3" applyNumberFormat="1" applyFont="1" applyFill="1" applyBorder="1" applyProtection="1">
      <protection locked="0"/>
    </xf>
    <xf numFmtId="42" fontId="10" fillId="0" borderId="0" xfId="3" applyNumberFormat="1" applyFont="1" applyFill="1" applyBorder="1" applyProtection="1">
      <protection locked="0"/>
    </xf>
    <xf numFmtId="42" fontId="0" fillId="0" borderId="0" xfId="0" applyNumberFormat="1" applyFill="1" applyBorder="1"/>
    <xf numFmtId="0" fontId="0" fillId="0" borderId="0" xfId="0" applyFill="1" applyBorder="1" applyAlignment="1">
      <alignment horizontal="left" indent="1"/>
    </xf>
    <xf numFmtId="176" fontId="0" fillId="0" borderId="0" xfId="0" applyNumberFormat="1" applyFill="1" applyBorder="1"/>
    <xf numFmtId="0" fontId="10" fillId="0" borderId="0" xfId="3" applyFont="1" applyFill="1" applyBorder="1" applyAlignment="1" applyProtection="1">
      <protection locked="0"/>
    </xf>
    <xf numFmtId="3" fontId="0" fillId="0" borderId="0" xfId="0" applyNumberFormat="1" applyFill="1" applyBorder="1"/>
    <xf numFmtId="43" fontId="10" fillId="0" borderId="0" xfId="3" applyNumberFormat="1" applyFont="1" applyFill="1" applyBorder="1"/>
    <xf numFmtId="0" fontId="49" fillId="0" borderId="0" xfId="0" applyFont="1" applyFill="1" applyBorder="1" applyAlignment="1">
      <alignment horizontal="left"/>
    </xf>
    <xf numFmtId="42" fontId="0" fillId="0" borderId="0" xfId="6" applyNumberFormat="1" applyFont="1" applyFill="1" applyBorder="1" applyAlignment="1"/>
    <xf numFmtId="0" fontId="0" fillId="0" borderId="0" xfId="0" applyFill="1" applyBorder="1" applyAlignment="1">
      <alignment vertical="center" wrapText="1"/>
    </xf>
    <xf numFmtId="8" fontId="0" fillId="0" borderId="0" xfId="0" applyNumberFormat="1" applyFill="1" applyBorder="1" applyAlignment="1">
      <alignment vertical="center" wrapText="1"/>
    </xf>
    <xf numFmtId="14" fontId="0" fillId="0" borderId="0" xfId="0" applyNumberFormat="1" applyFill="1" applyBorder="1" applyAlignment="1">
      <alignment vertical="center" wrapText="1"/>
    </xf>
    <xf numFmtId="3" fontId="0" fillId="0" borderId="0" xfId="0" applyNumberFormat="1" applyFill="1" applyBorder="1" applyAlignment="1">
      <alignment vertical="center" wrapText="1"/>
    </xf>
    <xf numFmtId="0" fontId="10" fillId="0" borderId="0" xfId="3" applyFont="1" applyFill="1" applyBorder="1" applyAlignment="1" applyProtection="1">
      <alignment horizontal="center"/>
      <protection locked="0"/>
    </xf>
    <xf numFmtId="0" fontId="15" fillId="0" borderId="0" xfId="0" applyFont="1" applyFill="1" applyBorder="1" applyAlignment="1">
      <alignment horizontal="left"/>
    </xf>
    <xf numFmtId="3" fontId="40" fillId="0" borderId="0" xfId="6" applyNumberFormat="1" applyFont="1" applyBorder="1"/>
    <xf numFmtId="167" fontId="0" fillId="0" borderId="0" xfId="1" applyNumberFormat="1" applyFont="1"/>
    <xf numFmtId="14" fontId="2" fillId="0" borderId="0" xfId="0" applyNumberFormat="1" applyFont="1" applyFill="1" applyBorder="1" applyAlignment="1">
      <alignment horizontal="centerContinuous" vertical="center" wrapText="1"/>
    </xf>
    <xf numFmtId="168" fontId="0" fillId="0" borderId="0" xfId="7" applyNumberFormat="1" applyFont="1" applyFill="1" applyBorder="1" applyAlignment="1">
      <alignment horizontal="centerContinuous" vertical="center" wrapText="1"/>
    </xf>
    <xf numFmtId="166" fontId="0" fillId="0" borderId="0" xfId="7" applyNumberFormat="1" applyFont="1" applyFill="1" applyBorder="1" applyAlignment="1">
      <alignment horizontal="centerContinuous" vertical="center" wrapText="1"/>
    </xf>
    <xf numFmtId="42" fontId="10" fillId="0" borderId="0" xfId="1" applyNumberFormat="1" applyFont="1" applyFill="1" applyBorder="1" applyAlignment="1">
      <alignment horizontal="center" vertical="center" wrapText="1"/>
    </xf>
    <xf numFmtId="9" fontId="40" fillId="0" borderId="0" xfId="8" applyFont="1" applyBorder="1"/>
    <xf numFmtId="0" fontId="10" fillId="0" borderId="0" xfId="3" applyFill="1" applyBorder="1" applyAlignment="1">
      <alignment horizontal="right"/>
    </xf>
    <xf numFmtId="0" fontId="52" fillId="0" borderId="0" xfId="0" applyFont="1" applyFill="1" applyBorder="1" applyAlignment="1">
      <alignment horizontal="right"/>
    </xf>
    <xf numFmtId="0" fontId="54" fillId="0" borderId="0" xfId="0" applyFont="1" applyAlignment="1">
      <alignment vertical="center"/>
    </xf>
    <xf numFmtId="0" fontId="0" fillId="0" borderId="0" xfId="0" applyFont="1" applyFill="1" applyBorder="1" applyAlignment="1">
      <alignment horizontal="left" vertical="top" wrapText="1"/>
    </xf>
    <xf numFmtId="0" fontId="2" fillId="0" borderId="0" xfId="0" applyFont="1" applyFill="1" applyBorder="1" applyAlignment="1">
      <alignment horizontal="center" vertical="center"/>
    </xf>
    <xf numFmtId="9" fontId="1" fillId="0" borderId="0" xfId="9" applyNumberFormat="1" applyFill="1" applyBorder="1" applyAlignment="1">
      <alignment horizontal="center" vertical="center"/>
    </xf>
    <xf numFmtId="0" fontId="0" fillId="14" borderId="0" xfId="0" applyFill="1" applyAlignment="1">
      <alignment wrapText="1"/>
    </xf>
    <xf numFmtId="0" fontId="2" fillId="14" borderId="0" xfId="0" applyFont="1" applyFill="1" applyAlignment="1">
      <alignment wrapText="1"/>
    </xf>
    <xf numFmtId="0" fontId="24" fillId="0" borderId="0" xfId="0" applyFont="1" applyFill="1" applyAlignment="1">
      <alignment wrapText="1"/>
    </xf>
    <xf numFmtId="177" fontId="1" fillId="0" borderId="0" xfId="9" applyNumberFormat="1" applyFill="1" applyBorder="1" applyAlignment="1">
      <alignment vertical="center"/>
    </xf>
    <xf numFmtId="0" fontId="17" fillId="0" borderId="0" xfId="0" applyFont="1" applyBorder="1" applyAlignment="1">
      <alignment wrapText="1"/>
    </xf>
    <xf numFmtId="179" fontId="17" fillId="0" borderId="0" xfId="0" applyNumberFormat="1" applyFont="1" applyBorder="1" applyAlignment="1">
      <alignment horizontal="center" wrapText="1"/>
    </xf>
    <xf numFmtId="0" fontId="16" fillId="4" borderId="26" xfId="3" applyFont="1" applyFill="1" applyBorder="1" applyAlignment="1" applyProtection="1">
      <alignment horizontal="center" vertical="center" wrapText="1"/>
      <protection locked="0"/>
    </xf>
    <xf numFmtId="173" fontId="4" fillId="0" borderId="0" xfId="0" applyNumberFormat="1" applyFont="1" applyAlignment="1">
      <alignment horizontal="center" vertical="center"/>
    </xf>
    <xf numFmtId="173" fontId="4" fillId="8" borderId="2" xfId="0" applyNumberFormat="1" applyFont="1" applyFill="1" applyBorder="1" applyAlignment="1">
      <alignment horizontal="center" vertical="center"/>
    </xf>
    <xf numFmtId="1" fontId="5" fillId="8" borderId="37" xfId="0" applyNumberFormat="1" applyFont="1" applyFill="1" applyBorder="1" applyAlignment="1">
      <alignment horizontal="center" vertical="center"/>
    </xf>
    <xf numFmtId="0" fontId="4" fillId="0" borderId="0" xfId="0" applyFont="1" applyAlignment="1">
      <alignment horizontal="left" indent="1"/>
    </xf>
    <xf numFmtId="173" fontId="0" fillId="0" borderId="0" xfId="0" applyNumberFormat="1" applyFont="1" applyAlignment="1">
      <alignment horizontal="center" vertical="center"/>
    </xf>
    <xf numFmtId="3" fontId="0" fillId="0" borderId="0" xfId="0" applyNumberFormat="1" applyFont="1"/>
    <xf numFmtId="0" fontId="5" fillId="0" borderId="0" xfId="0" applyFont="1"/>
    <xf numFmtId="3" fontId="4" fillId="8" borderId="0" xfId="0" applyNumberFormat="1" applyFont="1" applyFill="1" applyBorder="1" applyAlignment="1">
      <alignment horizontal="right"/>
    </xf>
    <xf numFmtId="3" fontId="4" fillId="0" borderId="0" xfId="0" applyNumberFormat="1" applyFont="1"/>
    <xf numFmtId="3" fontId="4" fillId="0" borderId="0" xfId="6" applyNumberFormat="1" applyFont="1"/>
    <xf numFmtId="3" fontId="4" fillId="18" borderId="37" xfId="0" applyNumberFormat="1" applyFont="1" applyFill="1" applyBorder="1"/>
    <xf numFmtId="3" fontId="4" fillId="0" borderId="0" xfId="0" applyNumberFormat="1" applyFont="1" applyBorder="1"/>
    <xf numFmtId="167" fontId="4" fillId="0" borderId="0" xfId="1" applyNumberFormat="1" applyFont="1" applyBorder="1"/>
    <xf numFmtId="175" fontId="4" fillId="0" borderId="0" xfId="8" applyNumberFormat="1" applyFont="1" applyBorder="1"/>
    <xf numFmtId="3" fontId="5" fillId="18" borderId="38" xfId="0" applyNumberFormat="1" applyFont="1" applyFill="1" applyBorder="1"/>
    <xf numFmtId="3" fontId="4" fillId="0" borderId="0" xfId="6" applyNumberFormat="1" applyFont="1" applyBorder="1"/>
    <xf numFmtId="9" fontId="4" fillId="0" borderId="0" xfId="8" applyFont="1" applyBorder="1"/>
    <xf numFmtId="175" fontId="4" fillId="0" borderId="0" xfId="6" applyNumberFormat="1" applyFont="1" applyBorder="1"/>
    <xf numFmtId="0" fontId="2" fillId="0" borderId="0" xfId="0" applyFont="1" applyFill="1"/>
    <xf numFmtId="167" fontId="10" fillId="0" borderId="9" xfId="6" applyNumberFormat="1" applyFont="1" applyFill="1" applyBorder="1" applyAlignment="1" applyProtection="1">
      <alignment horizontal="right" vertical="center"/>
    </xf>
    <xf numFmtId="166" fontId="10" fillId="0" borderId="13" xfId="5" applyNumberFormat="1" applyFont="1" applyFill="1" applyBorder="1" applyAlignment="1" applyProtection="1">
      <alignment horizontal="right" vertical="center"/>
    </xf>
    <xf numFmtId="49" fontId="10" fillId="6" borderId="14" xfId="3" applyNumberFormat="1" applyFont="1" applyFill="1" applyBorder="1" applyAlignment="1" applyProtection="1">
      <alignment vertical="center" wrapText="1"/>
      <protection locked="0"/>
    </xf>
    <xf numFmtId="1" fontId="0" fillId="0" borderId="0" xfId="0" applyNumberFormat="1" applyFont="1"/>
    <xf numFmtId="0" fontId="0" fillId="0" borderId="0" xfId="0" applyFont="1" applyFill="1" applyAlignment="1">
      <alignment horizontal="left"/>
    </xf>
    <xf numFmtId="173" fontId="4" fillId="0" borderId="0" xfId="6" applyNumberFormat="1" applyFont="1" applyFill="1" applyAlignment="1">
      <alignment horizontal="center" vertical="center"/>
    </xf>
    <xf numFmtId="0" fontId="0" fillId="0" borderId="0" xfId="0" applyFont="1" applyFill="1"/>
    <xf numFmtId="0" fontId="2" fillId="2" borderId="9" xfId="0" applyFont="1" applyFill="1" applyBorder="1" applyAlignment="1">
      <alignment horizontal="center" vertical="center" wrapText="1"/>
    </xf>
    <xf numFmtId="0" fontId="2" fillId="2" borderId="0" xfId="0" applyFont="1" applyFill="1" applyBorder="1" applyAlignment="1">
      <alignment horizontal="right" vertical="center" wrapText="1"/>
    </xf>
    <xf numFmtId="168" fontId="1" fillId="17" borderId="7" xfId="7" applyNumberFormat="1" applyFill="1" applyBorder="1" applyAlignment="1">
      <alignment vertical="center"/>
    </xf>
    <xf numFmtId="0" fontId="13" fillId="0" borderId="0" xfId="0" applyFont="1"/>
    <xf numFmtId="0" fontId="10" fillId="0" borderId="0" xfId="3" applyFont="1" applyBorder="1"/>
    <xf numFmtId="0" fontId="14" fillId="0" borderId="7"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4" fillId="2" borderId="0" xfId="0" applyFont="1" applyFill="1"/>
    <xf numFmtId="0" fontId="4" fillId="2" borderId="0" xfId="0" applyFont="1" applyFill="1" applyBorder="1" applyAlignment="1">
      <alignment vertical="center" wrapText="1"/>
    </xf>
    <xf numFmtId="0" fontId="56" fillId="0" borderId="0" xfId="2" applyFont="1" applyFill="1" applyBorder="1" applyAlignment="1">
      <alignment horizontal="center" vertical="center"/>
    </xf>
    <xf numFmtId="0" fontId="4" fillId="2" borderId="1" xfId="9" applyFont="1" applyFill="1" applyAlignment="1">
      <alignment vertical="center" wrapText="1"/>
    </xf>
    <xf numFmtId="0" fontId="4" fillId="2" borderId="0" xfId="0" applyFont="1" applyFill="1" applyBorder="1" applyAlignment="1">
      <alignment wrapText="1"/>
    </xf>
    <xf numFmtId="0" fontId="57" fillId="2" borderId="0" xfId="0" applyFont="1" applyFill="1" applyAlignment="1">
      <alignment horizontal="center" vertical="center"/>
    </xf>
    <xf numFmtId="0" fontId="4" fillId="0" borderId="1" xfId="9" applyFont="1" applyFill="1" applyAlignment="1">
      <alignment vertical="center" wrapText="1"/>
    </xf>
    <xf numFmtId="0" fontId="2" fillId="0" borderId="0" xfId="0" applyFont="1" applyBorder="1"/>
    <xf numFmtId="0" fontId="15" fillId="3" borderId="9" xfId="3" applyFont="1" applyFill="1" applyBorder="1" applyAlignment="1" applyProtection="1">
      <alignment horizontal="center" wrapText="1"/>
      <protection locked="0"/>
    </xf>
    <xf numFmtId="0" fontId="16" fillId="4" borderId="33" xfId="3" applyFont="1" applyFill="1" applyBorder="1" applyAlignment="1" applyProtection="1">
      <alignment horizontal="center" vertical="center" wrapText="1"/>
      <protection locked="0"/>
    </xf>
    <xf numFmtId="0" fontId="15" fillId="0" borderId="0" xfId="3" applyFont="1" applyFill="1" applyAlignment="1" applyProtection="1">
      <alignment horizontal="center"/>
      <protection locked="0"/>
    </xf>
    <xf numFmtId="49" fontId="10" fillId="0" borderId="0" xfId="3" applyNumberFormat="1" applyFont="1" applyFill="1" applyBorder="1" applyAlignment="1" applyProtection="1">
      <alignment vertical="center" wrapText="1"/>
      <protection locked="0"/>
    </xf>
    <xf numFmtId="168" fontId="10" fillId="0" borderId="0" xfId="5" applyNumberFormat="1" applyFont="1" applyFill="1" applyBorder="1" applyAlignment="1" applyProtection="1">
      <alignment horizontal="right" vertical="center"/>
      <protection locked="0"/>
    </xf>
    <xf numFmtId="167" fontId="1" fillId="0" borderId="0" xfId="10" applyNumberFormat="1" applyFill="1" applyBorder="1" applyAlignment="1" applyProtection="1">
      <alignment horizontal="right" vertical="center"/>
    </xf>
    <xf numFmtId="167" fontId="10" fillId="0" borderId="0" xfId="6" applyNumberFormat="1" applyFont="1" applyFill="1" applyBorder="1" applyAlignment="1" applyProtection="1">
      <alignment horizontal="right" vertical="center"/>
    </xf>
    <xf numFmtId="166" fontId="10" fillId="0" borderId="0" xfId="5" applyNumberFormat="1" applyFont="1" applyFill="1" applyBorder="1" applyAlignment="1" applyProtection="1">
      <alignment horizontal="right" vertical="center"/>
      <protection locked="0"/>
    </xf>
    <xf numFmtId="167" fontId="10" fillId="0" borderId="0" xfId="6" applyNumberFormat="1" applyFont="1" applyFill="1" applyBorder="1" applyAlignment="1" applyProtection="1">
      <alignment horizontal="right" vertical="center"/>
      <protection locked="0"/>
    </xf>
    <xf numFmtId="166" fontId="10" fillId="0" borderId="0" xfId="5" applyNumberFormat="1" applyFont="1" applyFill="1" applyBorder="1" applyAlignment="1" applyProtection="1">
      <alignment horizontal="right" vertical="center"/>
    </xf>
    <xf numFmtId="167" fontId="2" fillId="0" borderId="9" xfId="1" applyNumberFormat="1" applyFont="1" applyBorder="1" applyAlignment="1">
      <alignment horizontal="center" vertical="center"/>
    </xf>
    <xf numFmtId="167" fontId="2" fillId="0" borderId="9" xfId="1" applyNumberFormat="1" applyFont="1" applyFill="1" applyBorder="1" applyAlignment="1">
      <alignment horizontal="center" vertical="center" wrapText="1"/>
    </xf>
    <xf numFmtId="0" fontId="2" fillId="0" borderId="13" xfId="0" applyFont="1" applyBorder="1" applyAlignment="1">
      <alignment horizontal="center" vertical="center" wrapText="1"/>
    </xf>
    <xf numFmtId="0" fontId="15" fillId="0" borderId="0" xfId="3" applyFont="1" applyBorder="1" applyAlignment="1" applyProtection="1">
      <alignment horizontal="center" wrapText="1"/>
      <protection locked="0"/>
    </xf>
    <xf numFmtId="0" fontId="10" fillId="0" borderId="0" xfId="3" applyFont="1" applyBorder="1" applyAlignment="1" applyProtection="1">
      <alignment horizontal="center" wrapText="1"/>
      <protection locked="0"/>
    </xf>
    <xf numFmtId="164" fontId="10" fillId="0" borderId="0" xfId="3" applyNumberFormat="1" applyFont="1" applyFill="1" applyProtection="1">
      <protection locked="0"/>
    </xf>
    <xf numFmtId="165" fontId="10" fillId="0" borderId="0" xfId="3" applyNumberFormat="1" applyFont="1" applyFill="1" applyProtection="1">
      <protection locked="0"/>
    </xf>
    <xf numFmtId="42" fontId="10" fillId="0" borderId="0" xfId="3" applyNumberFormat="1" applyFont="1" applyFill="1" applyProtection="1">
      <protection locked="0"/>
    </xf>
    <xf numFmtId="0" fontId="10" fillId="0" borderId="0" xfId="3" applyFont="1" applyFill="1" applyAlignment="1" applyProtection="1">
      <alignment horizontal="center"/>
      <protection locked="0"/>
    </xf>
    <xf numFmtId="0" fontId="2" fillId="0" borderId="18" xfId="0" applyFont="1" applyBorder="1" applyAlignment="1">
      <alignment horizontal="center" vertical="center" wrapText="1"/>
    </xf>
    <xf numFmtId="0" fontId="4" fillId="0" borderId="0" xfId="3" applyFont="1" applyFill="1" applyAlignment="1">
      <alignment horizontal="right"/>
    </xf>
    <xf numFmtId="0" fontId="4" fillId="0" borderId="0" xfId="3" applyFont="1" applyAlignment="1">
      <alignment horizontal="right"/>
    </xf>
    <xf numFmtId="0" fontId="0" fillId="0" borderId="0" xfId="0" applyFont="1" applyAlignment="1">
      <alignment horizontal="right"/>
    </xf>
    <xf numFmtId="0" fontId="0" fillId="14" borderId="0" xfId="0" applyFont="1" applyFill="1" applyBorder="1" applyAlignment="1">
      <alignment horizontal="right" wrapText="1"/>
    </xf>
    <xf numFmtId="0" fontId="1" fillId="6" borderId="42" xfId="9" applyBorder="1" applyAlignment="1">
      <alignment horizontal="centerContinuous" vertical="top" wrapText="1"/>
    </xf>
    <xf numFmtId="0" fontId="1" fillId="0" borderId="4" xfId="9" applyFill="1" applyBorder="1" applyAlignment="1">
      <alignment horizontal="centerContinuous" vertical="top" wrapText="1"/>
    </xf>
    <xf numFmtId="0" fontId="0" fillId="0" borderId="4" xfId="0" applyFont="1" applyFill="1" applyBorder="1" applyAlignment="1">
      <alignment horizontal="centerContinuous" vertical="top" wrapText="1"/>
    </xf>
    <xf numFmtId="0" fontId="1" fillId="0" borderId="4" xfId="63" applyFill="1" applyBorder="1" applyAlignment="1">
      <alignment horizontal="centerContinuous" vertical="top" wrapText="1"/>
    </xf>
    <xf numFmtId="0" fontId="2" fillId="0" borderId="4" xfId="0" applyFont="1" applyFill="1" applyBorder="1" applyAlignment="1">
      <alignment horizontal="center" vertical="center"/>
    </xf>
    <xf numFmtId="0" fontId="4" fillId="19" borderId="35" xfId="62" applyFont="1" applyFill="1" applyBorder="1" applyAlignment="1">
      <alignment horizontal="center" vertical="center"/>
    </xf>
    <xf numFmtId="0" fontId="26" fillId="0" borderId="0" xfId="0" applyFont="1" applyFill="1" applyAlignment="1">
      <alignment horizontal="center" vertical="top" wrapText="1"/>
    </xf>
    <xf numFmtId="0" fontId="26" fillId="0" borderId="0" xfId="0" applyFont="1" applyFill="1" applyBorder="1" applyAlignment="1">
      <alignment vertical="top" wrapText="1"/>
    </xf>
    <xf numFmtId="0" fontId="15" fillId="0" borderId="0" xfId="3" applyFont="1" applyFill="1" applyAlignment="1" applyProtection="1">
      <alignment horizontal="center" wrapText="1"/>
      <protection locked="0"/>
    </xf>
    <xf numFmtId="0" fontId="4" fillId="0" borderId="0" xfId="3" applyFont="1" applyFill="1" applyBorder="1" applyAlignment="1" applyProtection="1">
      <alignment horizontal="left" vertical="top" wrapText="1"/>
      <protection locked="0"/>
    </xf>
    <xf numFmtId="0" fontId="5" fillId="0" borderId="0" xfId="0" applyFont="1" applyFill="1"/>
    <xf numFmtId="173" fontId="4" fillId="0" borderId="0" xfId="0" applyNumberFormat="1" applyFont="1" applyFill="1" applyAlignment="1">
      <alignment horizontal="center" vertical="center"/>
    </xf>
    <xf numFmtId="0" fontId="2" fillId="0" borderId="0" xfId="0" applyFont="1" applyFill="1" applyAlignment="1">
      <alignment horizontal="left"/>
    </xf>
    <xf numFmtId="0" fontId="2" fillId="0" borderId="0" xfId="0" applyFont="1" applyAlignment="1">
      <alignment horizontal="left"/>
    </xf>
    <xf numFmtId="173" fontId="4" fillId="8" borderId="0" xfId="0" applyNumberFormat="1" applyFont="1" applyFill="1" applyBorder="1" applyAlignment="1">
      <alignment horizontal="center" vertical="center"/>
    </xf>
    <xf numFmtId="3" fontId="4" fillId="0" borderId="37" xfId="0" applyNumberFormat="1" applyFont="1" applyFill="1" applyBorder="1"/>
    <xf numFmtId="0" fontId="0" fillId="2" borderId="0" xfId="0" applyFont="1" applyFill="1"/>
    <xf numFmtId="0" fontId="7" fillId="0" borderId="0" xfId="2"/>
    <xf numFmtId="0" fontId="0" fillId="2" borderId="0" xfId="0" quotePrefix="1" applyFill="1" applyBorder="1" applyAlignment="1">
      <alignment vertical="top" wrapText="1"/>
    </xf>
    <xf numFmtId="0" fontId="5" fillId="2" borderId="0" xfId="0" applyFont="1" applyFill="1"/>
    <xf numFmtId="0" fontId="4" fillId="0" borderId="0" xfId="3" applyFont="1"/>
    <xf numFmtId="0" fontId="0" fillId="0" borderId="0" xfId="0" applyFont="1" applyAlignment="1">
      <alignment horizontal="left" vertical="center" indent="1"/>
    </xf>
    <xf numFmtId="9" fontId="0" fillId="0" borderId="0" xfId="8" applyFont="1" applyFill="1" applyBorder="1" applyAlignment="1">
      <alignment vertical="center"/>
    </xf>
    <xf numFmtId="8" fontId="0" fillId="0" borderId="0" xfId="0" applyNumberFormat="1" applyFont="1"/>
    <xf numFmtId="168" fontId="0" fillId="0" borderId="0" xfId="7" applyNumberFormat="1" applyFont="1" applyFill="1" applyBorder="1" applyAlignment="1">
      <alignment vertical="center"/>
    </xf>
    <xf numFmtId="167" fontId="0" fillId="0" borderId="0" xfId="1" applyNumberFormat="1" applyFont="1" applyFill="1" applyBorder="1" applyAlignment="1">
      <alignment vertical="center"/>
    </xf>
    <xf numFmtId="44" fontId="0" fillId="0" borderId="0" xfId="1" applyFont="1" applyFill="1" applyBorder="1" applyAlignment="1">
      <alignment vertical="center"/>
    </xf>
    <xf numFmtId="44" fontId="0" fillId="0" borderId="0" xfId="0" applyNumberFormat="1" applyFont="1" applyFill="1" applyBorder="1"/>
    <xf numFmtId="0" fontId="4" fillId="0" borderId="0" xfId="3" applyFont="1" applyFill="1" applyBorder="1" applyAlignment="1">
      <alignment horizontal="right"/>
    </xf>
    <xf numFmtId="0" fontId="0" fillId="14" borderId="0" xfId="0" applyFont="1" applyFill="1" applyAlignment="1">
      <alignment wrapText="1"/>
    </xf>
    <xf numFmtId="0" fontId="0" fillId="0" borderId="0" xfId="0" applyFont="1" applyFill="1" applyAlignment="1">
      <alignment wrapText="1"/>
    </xf>
    <xf numFmtId="0" fontId="0" fillId="0" borderId="0" xfId="0" applyFont="1" applyAlignment="1">
      <alignment wrapText="1"/>
    </xf>
    <xf numFmtId="0" fontId="2" fillId="14" borderId="0" xfId="0" applyFont="1" applyFill="1" applyAlignment="1">
      <alignment horizontal="right" wrapText="1"/>
    </xf>
    <xf numFmtId="0" fontId="23" fillId="0" borderId="0" xfId="0" applyFont="1" applyAlignment="1">
      <alignment wrapText="1"/>
    </xf>
    <xf numFmtId="0" fontId="16" fillId="4" borderId="12" xfId="3" applyFont="1" applyFill="1" applyBorder="1" applyAlignment="1" applyProtection="1">
      <alignment vertical="center"/>
      <protection locked="0"/>
    </xf>
    <xf numFmtId="0" fontId="16" fillId="4" borderId="20" xfId="3" applyFont="1" applyFill="1" applyBorder="1" applyAlignment="1" applyProtection="1">
      <alignment vertical="center"/>
      <protection locked="0"/>
    </xf>
    <xf numFmtId="167" fontId="16" fillId="4" borderId="44" xfId="6" applyNumberFormat="1" applyFont="1" applyFill="1" applyBorder="1" applyAlignment="1" applyProtection="1">
      <alignment horizontal="right" vertical="center"/>
    </xf>
    <xf numFmtId="168" fontId="16" fillId="4" borderId="44" xfId="5" applyNumberFormat="1" applyFont="1" applyFill="1" applyBorder="1" applyAlignment="1" applyProtection="1">
      <alignment horizontal="right" vertical="center"/>
    </xf>
    <xf numFmtId="167" fontId="16" fillId="4" borderId="45" xfId="6" applyNumberFormat="1" applyFont="1" applyFill="1" applyBorder="1" applyAlignment="1" applyProtection="1">
      <alignment horizontal="right" vertical="center"/>
    </xf>
    <xf numFmtId="166" fontId="16" fillId="4" borderId="46" xfId="5" applyNumberFormat="1" applyFont="1" applyFill="1" applyBorder="1" applyAlignment="1" applyProtection="1">
      <alignment horizontal="right" vertical="center"/>
    </xf>
    <xf numFmtId="0" fontId="0" fillId="0" borderId="0" xfId="0" applyFont="1" applyFill="1" applyBorder="1" applyAlignment="1">
      <alignment horizontal="center" vertical="center" wrapText="1"/>
    </xf>
    <xf numFmtId="0" fontId="2" fillId="0" borderId="8" xfId="0" applyFont="1" applyBorder="1" applyAlignment="1">
      <alignment horizontal="center" vertical="center" wrapText="1"/>
    </xf>
    <xf numFmtId="0" fontId="5" fillId="21" borderId="0" xfId="0" applyFont="1" applyFill="1"/>
    <xf numFmtId="0" fontId="0" fillId="21" borderId="0" xfId="0" applyFont="1" applyFill="1"/>
    <xf numFmtId="167" fontId="16" fillId="4" borderId="48" xfId="6" applyNumberFormat="1" applyFont="1" applyFill="1" applyBorder="1" applyAlignment="1" applyProtection="1">
      <alignment horizontal="right" vertical="center"/>
    </xf>
    <xf numFmtId="167" fontId="1" fillId="17" borderId="7" xfId="1" applyNumberFormat="1" applyFill="1" applyBorder="1" applyAlignment="1">
      <alignment vertical="center"/>
    </xf>
    <xf numFmtId="168" fontId="16" fillId="4" borderId="48" xfId="5" applyNumberFormat="1" applyFont="1" applyFill="1" applyBorder="1" applyAlignment="1" applyProtection="1">
      <alignment horizontal="right" vertical="center"/>
    </xf>
    <xf numFmtId="0" fontId="15" fillId="3" borderId="5" xfId="3" applyFont="1" applyFill="1" applyBorder="1" applyAlignment="1" applyProtection="1">
      <alignment horizontal="center" wrapText="1"/>
      <protection locked="0"/>
    </xf>
    <xf numFmtId="167" fontId="10" fillId="0" borderId="5" xfId="6" applyNumberFormat="1" applyFont="1" applyFill="1" applyBorder="1" applyAlignment="1" applyProtection="1">
      <alignment horizontal="right" vertical="center"/>
    </xf>
    <xf numFmtId="0" fontId="4" fillId="0" borderId="0" xfId="3" applyFont="1" applyFill="1" applyBorder="1" applyAlignment="1" applyProtection="1">
      <alignment vertical="center" wrapText="1"/>
      <protection locked="0"/>
    </xf>
    <xf numFmtId="0" fontId="5" fillId="0" borderId="0" xfId="3" applyFont="1" applyFill="1" applyBorder="1" applyAlignment="1" applyProtection="1">
      <alignment horizontal="center" vertical="top" wrapText="1"/>
      <protection locked="0"/>
    </xf>
    <xf numFmtId="0" fontId="5" fillId="0" borderId="0" xfId="3" applyFont="1" applyFill="1" applyBorder="1" applyAlignment="1" applyProtection="1">
      <alignment horizontal="center" wrapText="1"/>
      <protection locked="0"/>
    </xf>
    <xf numFmtId="0" fontId="5" fillId="0" borderId="0" xfId="3" applyFont="1" applyFill="1" applyBorder="1" applyAlignment="1" applyProtection="1">
      <alignment horizontal="center" vertical="center" wrapText="1"/>
      <protection locked="0"/>
    </xf>
    <xf numFmtId="0" fontId="15" fillId="0" borderId="0" xfId="3" applyFont="1" applyFill="1" applyBorder="1" applyAlignment="1" applyProtection="1">
      <alignment horizontal="center" wrapText="1"/>
      <protection locked="0"/>
    </xf>
    <xf numFmtId="0" fontId="10" fillId="0" borderId="0" xfId="3" applyFont="1" applyFill="1" applyBorder="1" applyAlignment="1" applyProtection="1">
      <alignment horizontal="center" wrapText="1"/>
      <protection locked="0"/>
    </xf>
    <xf numFmtId="42" fontId="16" fillId="0" borderId="0" xfId="3" applyNumberFormat="1" applyFont="1" applyFill="1" applyBorder="1" applyAlignment="1" applyProtection="1">
      <alignment horizontal="center" vertical="center"/>
      <protection locked="0"/>
    </xf>
    <xf numFmtId="164" fontId="16" fillId="0" borderId="0" xfId="3" applyNumberFormat="1" applyFont="1" applyFill="1" applyBorder="1" applyAlignment="1" applyProtection="1">
      <alignment horizontal="center" vertical="center" wrapText="1"/>
      <protection locked="0"/>
    </xf>
    <xf numFmtId="166" fontId="16" fillId="0" borderId="0" xfId="5" applyNumberFormat="1" applyFont="1" applyFill="1" applyBorder="1" applyAlignment="1" applyProtection="1">
      <alignment horizontal="right" vertical="center"/>
    </xf>
    <xf numFmtId="1" fontId="10" fillId="0" borderId="9" xfId="6" applyNumberFormat="1" applyFont="1" applyFill="1" applyBorder="1" applyAlignment="1" applyProtection="1">
      <alignment horizontal="right" vertical="center"/>
      <protection locked="0"/>
    </xf>
    <xf numFmtId="0" fontId="0" fillId="6" borderId="1" xfId="9" applyFont="1" applyFill="1" applyAlignment="1">
      <alignment vertical="center" wrapText="1"/>
    </xf>
    <xf numFmtId="0" fontId="1" fillId="6" borderId="1" xfId="9" applyFill="1" applyAlignment="1">
      <alignment vertical="center" wrapText="1"/>
    </xf>
    <xf numFmtId="0" fontId="24" fillId="0" borderId="4" xfId="0" applyFont="1" applyBorder="1"/>
    <xf numFmtId="0" fontId="24" fillId="0" borderId="0" xfId="0" applyFont="1" applyBorder="1"/>
    <xf numFmtId="0" fontId="24" fillId="0" borderId="0" xfId="0" applyFont="1" applyBorder="1" applyAlignment="1">
      <alignment horizontal="right"/>
    </xf>
    <xf numFmtId="2" fontId="24" fillId="0" borderId="2" xfId="0" applyNumberFormat="1" applyFont="1" applyBorder="1" applyAlignment="1">
      <alignment horizontal="center" vertical="center"/>
    </xf>
    <xf numFmtId="2" fontId="24" fillId="0" borderId="3" xfId="0" applyNumberFormat="1" applyFont="1" applyBorder="1" applyAlignment="1">
      <alignment horizontal="center" vertical="center"/>
    </xf>
    <xf numFmtId="2" fontId="24" fillId="0" borderId="4" xfId="0" applyNumberFormat="1" applyFont="1" applyBorder="1" applyAlignment="1">
      <alignment horizontal="center" vertical="center"/>
    </xf>
    <xf numFmtId="2" fontId="24" fillId="0" borderId="0" xfId="0" applyNumberFormat="1" applyFont="1" applyBorder="1" applyAlignment="1">
      <alignment horizontal="center" vertical="center"/>
    </xf>
    <xf numFmtId="2" fontId="24" fillId="0" borderId="19" xfId="0" applyNumberFormat="1" applyFont="1" applyBorder="1" applyAlignment="1">
      <alignment horizontal="center" vertical="center"/>
    </xf>
    <xf numFmtId="2" fontId="24" fillId="0" borderId="5" xfId="0" applyNumberFormat="1" applyFont="1" applyBorder="1" applyAlignment="1">
      <alignment horizontal="center" vertical="center"/>
    </xf>
    <xf numFmtId="2" fontId="24" fillId="0" borderId="37" xfId="0" applyNumberFormat="1" applyFont="1" applyBorder="1" applyAlignment="1">
      <alignment horizontal="center" vertical="center"/>
    </xf>
    <xf numFmtId="2" fontId="24" fillId="0" borderId="6" xfId="0" applyNumberFormat="1" applyFont="1" applyBorder="1" applyAlignment="1">
      <alignment horizontal="center" vertical="center"/>
    </xf>
    <xf numFmtId="0" fontId="24" fillId="0" borderId="2" xfId="0" applyFont="1" applyBorder="1"/>
    <xf numFmtId="0" fontId="24" fillId="0" borderId="2" xfId="0" applyFont="1" applyBorder="1" applyAlignment="1">
      <alignment horizontal="right"/>
    </xf>
    <xf numFmtId="0" fontId="24" fillId="0" borderId="5" xfId="0" applyFont="1" applyBorder="1"/>
    <xf numFmtId="0" fontId="24" fillId="0" borderId="37" xfId="0" applyFont="1" applyBorder="1"/>
    <xf numFmtId="0" fontId="24" fillId="0" borderId="37" xfId="0" applyFont="1" applyBorder="1" applyAlignment="1">
      <alignment horizontal="right"/>
    </xf>
    <xf numFmtId="1" fontId="24" fillId="0" borderId="2" xfId="0" applyNumberFormat="1" applyFont="1" applyBorder="1" applyAlignment="1">
      <alignment horizontal="center" vertical="center"/>
    </xf>
    <xf numFmtId="1" fontId="24" fillId="0" borderId="3" xfId="0" applyNumberFormat="1" applyFont="1" applyBorder="1" applyAlignment="1">
      <alignment horizontal="center" vertical="center"/>
    </xf>
    <xf numFmtId="1" fontId="24" fillId="0" borderId="4" xfId="0" applyNumberFormat="1" applyFont="1" applyBorder="1" applyAlignment="1">
      <alignment horizontal="center" vertical="center"/>
    </xf>
    <xf numFmtId="1" fontId="24" fillId="0" borderId="0" xfId="0" applyNumberFormat="1" applyFont="1" applyBorder="1" applyAlignment="1">
      <alignment horizontal="center" vertical="center"/>
    </xf>
    <xf numFmtId="1" fontId="24" fillId="0" borderId="19" xfId="0" applyNumberFormat="1" applyFont="1" applyBorder="1" applyAlignment="1">
      <alignment horizontal="center" vertical="center"/>
    </xf>
    <xf numFmtId="1" fontId="24" fillId="0" borderId="5" xfId="0" applyNumberFormat="1" applyFont="1" applyBorder="1" applyAlignment="1">
      <alignment horizontal="center" vertical="center"/>
    </xf>
    <xf numFmtId="1" fontId="24" fillId="0" borderId="37" xfId="0" applyNumberFormat="1" applyFont="1" applyBorder="1" applyAlignment="1">
      <alignment horizontal="center" vertical="center"/>
    </xf>
    <xf numFmtId="1" fontId="24" fillId="0" borderId="6" xfId="0" applyNumberFormat="1" applyFont="1" applyBorder="1" applyAlignment="1">
      <alignment horizontal="center" vertical="center"/>
    </xf>
    <xf numFmtId="0" fontId="10" fillId="0" borderId="0" xfId="0" applyFont="1" applyBorder="1" applyAlignment="1">
      <alignment horizontal="right"/>
    </xf>
    <xf numFmtId="0" fontId="15" fillId="0" borderId="0" xfId="0" applyFont="1" applyBorder="1"/>
    <xf numFmtId="0" fontId="15" fillId="0" borderId="0" xfId="3" applyFont="1" applyProtection="1">
      <protection locked="0"/>
    </xf>
    <xf numFmtId="167" fontId="33" fillId="6" borderId="47" xfId="21" applyNumberFormat="1" applyFont="1" applyFill="1" applyBorder="1" applyAlignment="1">
      <alignment horizontal="left" wrapText="1"/>
    </xf>
    <xf numFmtId="43" fontId="0" fillId="0" borderId="0" xfId="7" applyNumberFormat="1" applyFont="1" applyFill="1" applyBorder="1" applyAlignment="1">
      <alignment horizontal="center" vertical="center" wrapText="1"/>
    </xf>
    <xf numFmtId="167" fontId="10" fillId="2" borderId="6" xfId="10" applyNumberFormat="1" applyFont="1" applyFill="1" applyBorder="1" applyAlignment="1" applyProtection="1">
      <alignment horizontal="right" vertical="center"/>
    </xf>
    <xf numFmtId="168" fontId="10" fillId="6" borderId="5" xfId="5" applyNumberFormat="1" applyFont="1" applyFill="1" applyBorder="1" applyAlignment="1" applyProtection="1">
      <alignment horizontal="right" vertical="center" wrapText="1"/>
      <protection locked="0"/>
    </xf>
    <xf numFmtId="168" fontId="10" fillId="6" borderId="4" xfId="5" applyNumberFormat="1" applyFont="1" applyFill="1" applyBorder="1" applyAlignment="1" applyProtection="1">
      <alignment horizontal="right" vertical="center" wrapText="1"/>
      <protection locked="0"/>
    </xf>
    <xf numFmtId="0" fontId="4" fillId="0" borderId="2" xfId="0" applyFont="1" applyBorder="1"/>
    <xf numFmtId="0" fontId="4" fillId="0" borderId="7" xfId="0" applyFont="1" applyBorder="1" applyAlignment="1">
      <alignment horizontal="center"/>
    </xf>
    <xf numFmtId="0" fontId="4" fillId="0" borderId="2" xfId="0" applyFont="1" applyBorder="1" applyAlignment="1">
      <alignment horizontal="right"/>
    </xf>
    <xf numFmtId="2" fontId="4" fillId="0" borderId="2" xfId="0" applyNumberFormat="1" applyFont="1" applyBorder="1"/>
    <xf numFmtId="2" fontId="4" fillId="0" borderId="2" xfId="0" applyNumberFormat="1" applyFont="1" applyFill="1" applyBorder="1"/>
    <xf numFmtId="2" fontId="4" fillId="0" borderId="3" xfId="0" applyNumberFormat="1" applyFont="1" applyFill="1" applyBorder="1"/>
    <xf numFmtId="0" fontId="4" fillId="0" borderId="4" xfId="0" applyFont="1" applyBorder="1"/>
    <xf numFmtId="0" fontId="4" fillId="0" borderId="0" xfId="0" applyFont="1" applyBorder="1"/>
    <xf numFmtId="0" fontId="4" fillId="0" borderId="0" xfId="0" applyFont="1" applyBorder="1" applyAlignment="1">
      <alignment horizontal="right"/>
    </xf>
    <xf numFmtId="0" fontId="4" fillId="0" borderId="19" xfId="0" applyFont="1" applyBorder="1"/>
    <xf numFmtId="0" fontId="4" fillId="0" borderId="5" xfId="0" applyFont="1" applyBorder="1"/>
    <xf numFmtId="0" fontId="4" fillId="0" borderId="37" xfId="0" applyFont="1" applyBorder="1"/>
    <xf numFmtId="0" fontId="4" fillId="0" borderId="37" xfId="0" applyFont="1" applyBorder="1" applyAlignment="1">
      <alignment horizontal="right"/>
    </xf>
    <xf numFmtId="0" fontId="4" fillId="0" borderId="6" xfId="0" applyFont="1" applyBorder="1"/>
    <xf numFmtId="0" fontId="4" fillId="0" borderId="2" xfId="0" applyFont="1" applyFill="1" applyBorder="1"/>
    <xf numFmtId="0" fontId="4" fillId="0" borderId="3" xfId="0" applyFont="1" applyFill="1" applyBorder="1"/>
    <xf numFmtId="0" fontId="4" fillId="0" borderId="19" xfId="0" applyFont="1" applyFill="1" applyBorder="1"/>
    <xf numFmtId="0" fontId="60" fillId="0" borderId="0" xfId="3" applyFont="1" applyProtection="1">
      <protection locked="0"/>
    </xf>
    <xf numFmtId="0" fontId="4" fillId="0" borderId="0" xfId="0" applyFont="1" applyAlignment="1">
      <alignment horizontal="center"/>
    </xf>
    <xf numFmtId="42" fontId="61" fillId="0" borderId="0" xfId="0" applyNumberFormat="1" applyFont="1" applyFill="1" applyBorder="1" applyAlignment="1">
      <alignment horizontal="left" vertical="center"/>
    </xf>
    <xf numFmtId="0" fontId="63" fillId="0" borderId="0" xfId="0" applyFont="1" applyFill="1"/>
    <xf numFmtId="0" fontId="64" fillId="0" borderId="0" xfId="0" applyFont="1" applyFill="1"/>
    <xf numFmtId="0" fontId="65" fillId="0" borderId="0" xfId="0" applyFont="1" applyFill="1" applyBorder="1" applyAlignment="1">
      <alignment horizontal="left" vertical="center"/>
    </xf>
    <xf numFmtId="0" fontId="66" fillId="0" borderId="0" xfId="3" applyFont="1" applyBorder="1" applyProtection="1">
      <protection locked="0"/>
    </xf>
    <xf numFmtId="0" fontId="64" fillId="0" borderId="0" xfId="0" applyFont="1" applyFill="1" applyBorder="1"/>
    <xf numFmtId="0" fontId="67" fillId="0" borderId="0" xfId="0" applyFont="1" applyFill="1"/>
    <xf numFmtId="0" fontId="68" fillId="0" borderId="0" xfId="0" applyFont="1" applyFill="1"/>
    <xf numFmtId="0" fontId="66" fillId="0" borderId="0" xfId="3" applyFont="1" applyFill="1" applyProtection="1">
      <protection locked="0"/>
    </xf>
    <xf numFmtId="0" fontId="68" fillId="0" borderId="0" xfId="0" applyFont="1" applyFill="1" applyBorder="1"/>
    <xf numFmtId="0" fontId="65" fillId="0" borderId="37" xfId="3" applyFont="1" applyBorder="1" applyAlignment="1" applyProtection="1">
      <alignment horizontal="left"/>
      <protection locked="0"/>
    </xf>
    <xf numFmtId="0" fontId="65" fillId="0" borderId="37" xfId="3" applyFont="1" applyBorder="1" applyAlignment="1" applyProtection="1">
      <alignment horizontal="center"/>
      <protection locked="0"/>
    </xf>
    <xf numFmtId="0" fontId="64" fillId="0" borderId="37" xfId="0" applyFont="1" applyFill="1" applyBorder="1"/>
    <xf numFmtId="0" fontId="65" fillId="0" borderId="37" xfId="3" applyFont="1" applyFill="1" applyBorder="1" applyAlignment="1" applyProtection="1">
      <alignment horizontal="left"/>
      <protection locked="0"/>
    </xf>
    <xf numFmtId="0" fontId="65" fillId="0" borderId="37" xfId="3" applyFont="1" applyFill="1" applyBorder="1" applyAlignment="1" applyProtection="1">
      <alignment horizontal="center"/>
      <protection locked="0"/>
    </xf>
    <xf numFmtId="0" fontId="68" fillId="0" borderId="37" xfId="0" applyFont="1" applyFill="1" applyBorder="1"/>
    <xf numFmtId="0" fontId="65" fillId="0" borderId="0" xfId="3" applyFont="1" applyFill="1" applyAlignment="1" applyProtection="1">
      <alignment horizontal="center"/>
      <protection locked="0"/>
    </xf>
    <xf numFmtId="0" fontId="65" fillId="0" borderId="0" xfId="0" applyFont="1" applyFill="1" applyBorder="1" applyAlignment="1">
      <alignment horizontal="center" vertical="center"/>
    </xf>
    <xf numFmtId="0" fontId="65" fillId="0" borderId="11" xfId="0" applyFont="1" applyFill="1" applyBorder="1" applyAlignment="1">
      <alignment horizontal="center" vertical="center"/>
    </xf>
    <xf numFmtId="0" fontId="68" fillId="0" borderId="0" xfId="0" applyFont="1" applyFill="1" applyBorder="1" applyAlignment="1">
      <alignment wrapText="1"/>
    </xf>
    <xf numFmtId="0" fontId="66" fillId="0" borderId="5" xfId="3" applyFont="1" applyFill="1" applyBorder="1" applyAlignment="1" applyProtection="1">
      <alignment horizontal="center" wrapText="1"/>
      <protection locked="0"/>
    </xf>
    <xf numFmtId="0" fontId="66" fillId="0" borderId="6" xfId="3" applyFont="1" applyFill="1" applyBorder="1" applyAlignment="1" applyProtection="1">
      <alignment horizontal="center" wrapText="1"/>
      <protection locked="0"/>
    </xf>
    <xf numFmtId="0" fontId="68" fillId="0" borderId="5" xfId="0" applyFont="1" applyFill="1" applyBorder="1"/>
    <xf numFmtId="0" fontId="68" fillId="0" borderId="6" xfId="0" applyFont="1" applyFill="1" applyBorder="1"/>
    <xf numFmtId="2" fontId="68" fillId="0" borderId="0" xfId="0" applyNumberFormat="1" applyFont="1" applyFill="1"/>
    <xf numFmtId="9" fontId="68" fillId="0" borderId="0" xfId="8" applyFont="1" applyFill="1"/>
    <xf numFmtId="173" fontId="68" fillId="0" borderId="0" xfId="0" applyNumberFormat="1" applyFont="1" applyFill="1"/>
    <xf numFmtId="173" fontId="68" fillId="0" borderId="0" xfId="0" applyNumberFormat="1" applyFont="1" applyFill="1" applyBorder="1"/>
    <xf numFmtId="173" fontId="64" fillId="0" borderId="0" xfId="0" applyNumberFormat="1" applyFont="1" applyFill="1"/>
    <xf numFmtId="173" fontId="68" fillId="0" borderId="37" xfId="0" applyNumberFormat="1" applyFont="1" applyFill="1" applyBorder="1"/>
    <xf numFmtId="167" fontId="66" fillId="0" borderId="0" xfId="1" applyNumberFormat="1" applyFont="1" applyFill="1" applyProtection="1">
      <protection locked="0"/>
    </xf>
    <xf numFmtId="2" fontId="66" fillId="0" borderId="0" xfId="1" applyNumberFormat="1" applyFont="1" applyFill="1" applyProtection="1">
      <protection locked="0"/>
    </xf>
    <xf numFmtId="169" fontId="66" fillId="0" borderId="0" xfId="1" applyNumberFormat="1" applyFont="1" applyFill="1" applyProtection="1">
      <protection locked="0"/>
    </xf>
    <xf numFmtId="9" fontId="66" fillId="0" borderId="0" xfId="8" applyFont="1" applyFill="1" applyProtection="1">
      <protection locked="0"/>
    </xf>
    <xf numFmtId="173" fontId="66" fillId="0" borderId="0" xfId="1" applyNumberFormat="1" applyFont="1" applyFill="1" applyProtection="1">
      <protection locked="0"/>
    </xf>
    <xf numFmtId="0" fontId="66" fillId="0" borderId="0" xfId="3" applyFont="1" applyFill="1" applyBorder="1" applyProtection="1">
      <protection locked="0"/>
    </xf>
    <xf numFmtId="0" fontId="66" fillId="0" borderId="0" xfId="3" applyFont="1" applyFill="1" applyBorder="1" applyAlignment="1" applyProtection="1">
      <alignment horizontal="center"/>
      <protection locked="0"/>
    </xf>
    <xf numFmtId="0" fontId="7" fillId="0" borderId="0" xfId="2" applyAlignment="1">
      <alignment horizontal="left" vertical="center" indent="1"/>
    </xf>
    <xf numFmtId="0" fontId="7" fillId="0" borderId="0" xfId="2" applyFill="1" applyBorder="1" applyAlignment="1">
      <alignment horizontal="left" vertical="center" indent="1"/>
    </xf>
    <xf numFmtId="0" fontId="7" fillId="0" borderId="0" xfId="2" applyAlignment="1">
      <alignment horizontal="left" indent="1"/>
    </xf>
    <xf numFmtId="0" fontId="58" fillId="0" borderId="0" xfId="0" applyFont="1"/>
    <xf numFmtId="0" fontId="23" fillId="0" borderId="0" xfId="0" applyFont="1"/>
    <xf numFmtId="44" fontId="4" fillId="0" borderId="0" xfId="1" applyFont="1"/>
    <xf numFmtId="10" fontId="4" fillId="0" borderId="0" xfId="0" applyNumberFormat="1" applyFont="1"/>
    <xf numFmtId="8" fontId="4" fillId="0" borderId="0" xfId="0" applyNumberFormat="1" applyFont="1"/>
    <xf numFmtId="175" fontId="0" fillId="0" borderId="0" xfId="0" applyNumberFormat="1" applyFont="1" applyBorder="1"/>
    <xf numFmtId="0" fontId="4" fillId="0" borderId="0" xfId="2" applyFont="1"/>
    <xf numFmtId="1" fontId="0" fillId="6" borderId="1" xfId="9" applyNumberFormat="1" applyFont="1" applyFill="1" applyAlignment="1">
      <alignment vertical="center" wrapText="1"/>
    </xf>
    <xf numFmtId="1" fontId="4" fillId="11" borderId="1" xfId="9" applyNumberFormat="1" applyFont="1" applyFill="1" applyAlignment="1">
      <alignment vertical="center" wrapText="1"/>
    </xf>
    <xf numFmtId="1" fontId="1" fillId="11" borderId="1" xfId="9" applyNumberFormat="1" applyFill="1" applyAlignment="1">
      <alignment vertical="center" wrapText="1"/>
    </xf>
    <xf numFmtId="0" fontId="2" fillId="2" borderId="0" xfId="0" applyFont="1" applyFill="1" applyBorder="1" applyAlignment="1"/>
    <xf numFmtId="175" fontId="4" fillId="0" borderId="0" xfId="8" applyNumberFormat="1" applyFont="1"/>
    <xf numFmtId="175" fontId="0" fillId="0" borderId="0" xfId="8" applyNumberFormat="1" applyFont="1"/>
    <xf numFmtId="0" fontId="0" fillId="2" borderId="26" xfId="0" applyFill="1" applyBorder="1"/>
    <xf numFmtId="0" fontId="0" fillId="2" borderId="24" xfId="0" applyFill="1" applyBorder="1"/>
    <xf numFmtId="0" fontId="0" fillId="2" borderId="34" xfId="0" applyFill="1" applyBorder="1"/>
    <xf numFmtId="0" fontId="0" fillId="2" borderId="23" xfId="0" applyFill="1" applyBorder="1"/>
    <xf numFmtId="0" fontId="0" fillId="2" borderId="31" xfId="0" applyFill="1" applyBorder="1"/>
    <xf numFmtId="0" fontId="0" fillId="2" borderId="21" xfId="0" applyFill="1" applyBorder="1"/>
    <xf numFmtId="0" fontId="4" fillId="21" borderId="0" xfId="0" applyFont="1" applyFill="1"/>
    <xf numFmtId="49" fontId="5" fillId="0" borderId="46" xfId="0" applyNumberFormat="1" applyFont="1" applyFill="1" applyBorder="1" applyAlignment="1">
      <alignment horizontal="left" vertical="center"/>
    </xf>
    <xf numFmtId="0" fontId="0" fillId="2" borderId="0" xfId="0" applyFill="1" applyAlignment="1">
      <alignment horizontal="right"/>
    </xf>
    <xf numFmtId="0" fontId="32" fillId="2" borderId="0" xfId="0" applyFont="1" applyFill="1" applyBorder="1" applyAlignment="1">
      <alignment horizontal="right"/>
    </xf>
    <xf numFmtId="173" fontId="32" fillId="2" borderId="0" xfId="0" applyNumberFormat="1" applyFont="1" applyFill="1" applyBorder="1"/>
    <xf numFmtId="1" fontId="32" fillId="2" borderId="22" xfId="0" applyNumberFormat="1" applyFont="1" applyFill="1" applyBorder="1" applyAlignment="1">
      <alignment horizontal="right"/>
    </xf>
    <xf numFmtId="0" fontId="0" fillId="2" borderId="30" xfId="0" applyFill="1" applyBorder="1"/>
    <xf numFmtId="0" fontId="2" fillId="2" borderId="12" xfId="0" applyFont="1" applyFill="1" applyBorder="1"/>
    <xf numFmtId="0" fontId="0" fillId="2" borderId="20" xfId="0" applyFill="1" applyBorder="1"/>
    <xf numFmtId="0" fontId="2" fillId="0" borderId="12" xfId="0" applyFont="1" applyFill="1" applyBorder="1"/>
    <xf numFmtId="0" fontId="32" fillId="2" borderId="23" xfId="0" applyFont="1" applyFill="1" applyBorder="1" applyAlignment="1">
      <alignment horizontal="right"/>
    </xf>
    <xf numFmtId="0" fontId="32" fillId="2" borderId="33" xfId="0" applyFont="1" applyFill="1" applyBorder="1" applyAlignment="1">
      <alignment horizontal="right"/>
    </xf>
    <xf numFmtId="0" fontId="70" fillId="2" borderId="0" xfId="0" applyFont="1" applyFill="1"/>
    <xf numFmtId="0" fontId="24" fillId="2" borderId="0" xfId="0" applyFont="1" applyFill="1"/>
    <xf numFmtId="0" fontId="0" fillId="2" borderId="0" xfId="0" applyFont="1" applyFill="1" applyBorder="1" applyAlignment="1">
      <alignment vertical="center"/>
    </xf>
    <xf numFmtId="0" fontId="32" fillId="2" borderId="31" xfId="0" applyFont="1" applyFill="1" applyBorder="1" applyAlignment="1">
      <alignment horizontal="left"/>
    </xf>
    <xf numFmtId="0" fontId="32" fillId="2" borderId="0" xfId="0" applyFont="1" applyFill="1" applyBorder="1"/>
    <xf numFmtId="0" fontId="32" fillId="2" borderId="31" xfId="0" applyFont="1" applyFill="1" applyBorder="1"/>
    <xf numFmtId="0" fontId="32" fillId="2" borderId="30" xfId="0" applyFont="1" applyFill="1" applyBorder="1"/>
    <xf numFmtId="175" fontId="32" fillId="2" borderId="0" xfId="8" applyNumberFormat="1" applyFont="1" applyFill="1" applyBorder="1" applyAlignment="1">
      <alignment horizontal="right"/>
    </xf>
    <xf numFmtId="175" fontId="32" fillId="2" borderId="0" xfId="8" applyNumberFormat="1" applyFont="1" applyFill="1" applyBorder="1"/>
    <xf numFmtId="1" fontId="1" fillId="6" borderId="45" xfId="9" applyNumberFormat="1" applyBorder="1" applyAlignment="1">
      <alignment horizontal="center" vertical="center"/>
    </xf>
    <xf numFmtId="0" fontId="2" fillId="2" borderId="0" xfId="0" applyFont="1" applyFill="1" applyAlignment="1">
      <alignment vertical="top" wrapText="1"/>
    </xf>
    <xf numFmtId="0" fontId="22" fillId="2" borderId="0" xfId="0" applyFont="1" applyFill="1" applyAlignment="1">
      <alignment horizontal="left" vertical="top" wrapText="1"/>
    </xf>
    <xf numFmtId="0" fontId="2" fillId="2" borderId="0" xfId="0" applyFont="1" applyFill="1" applyAlignment="1">
      <alignment horizontal="left" vertical="top" wrapText="1"/>
    </xf>
    <xf numFmtId="167" fontId="2" fillId="2" borderId="0" xfId="1" applyNumberFormat="1" applyFont="1" applyFill="1" applyBorder="1"/>
    <xf numFmtId="0" fontId="2" fillId="2" borderId="0" xfId="0" applyFont="1" applyFill="1" applyAlignment="1">
      <alignment vertical="top"/>
    </xf>
    <xf numFmtId="0" fontId="2" fillId="2" borderId="0" xfId="0" applyFont="1" applyFill="1" applyBorder="1"/>
    <xf numFmtId="0" fontId="2" fillId="2" borderId="31" xfId="0" applyFont="1" applyFill="1" applyBorder="1"/>
    <xf numFmtId="0" fontId="0" fillId="2" borderId="37" xfId="0" applyFill="1" applyBorder="1"/>
    <xf numFmtId="173" fontId="2" fillId="2" borderId="0" xfId="10" applyNumberFormat="1" applyFont="1" applyFill="1" applyBorder="1" applyAlignment="1">
      <alignment horizontal="center" vertical="center"/>
    </xf>
    <xf numFmtId="0" fontId="62" fillId="2" borderId="0" xfId="0" applyFont="1" applyFill="1" applyBorder="1" applyAlignment="1">
      <alignment horizontal="center" vertical="center"/>
    </xf>
    <xf numFmtId="173" fontId="62" fillId="2" borderId="0" xfId="10" applyNumberFormat="1" applyFont="1" applyFill="1" applyBorder="1" applyAlignment="1">
      <alignment horizontal="center" vertical="center"/>
    </xf>
    <xf numFmtId="0" fontId="63" fillId="2" borderId="0" xfId="0" applyFont="1" applyFill="1" applyBorder="1" applyAlignment="1">
      <alignment horizontal="center" vertical="center"/>
    </xf>
    <xf numFmtId="0" fontId="63" fillId="2" borderId="0" xfId="0" applyFont="1" applyFill="1"/>
    <xf numFmtId="0" fontId="0" fillId="2" borderId="0" xfId="0" applyFill="1" applyAlignment="1">
      <alignment wrapText="1"/>
    </xf>
    <xf numFmtId="0" fontId="4" fillId="2" borderId="0" xfId="0" applyFont="1" applyFill="1" applyBorder="1" applyAlignment="1">
      <alignment horizontal="center" vertical="center"/>
    </xf>
    <xf numFmtId="0" fontId="26" fillId="2" borderId="0" xfId="0" applyFont="1" applyFill="1" applyAlignment="1">
      <alignment vertical="top"/>
    </xf>
    <xf numFmtId="0" fontId="2" fillId="0" borderId="15" xfId="0" applyFont="1" applyBorder="1" applyAlignment="1">
      <alignment horizontal="center" vertical="center" wrapText="1"/>
    </xf>
    <xf numFmtId="0" fontId="4" fillId="0" borderId="0" xfId="0" applyFont="1" applyFill="1"/>
    <xf numFmtId="0" fontId="4" fillId="19" borderId="0" xfId="62" applyFont="1" applyFill="1" applyBorder="1" applyAlignment="1">
      <alignment vertical="center"/>
    </xf>
    <xf numFmtId="173" fontId="0" fillId="0" borderId="0" xfId="0" applyNumberFormat="1" applyFont="1" applyAlignment="1">
      <alignment horizontal="center"/>
    </xf>
    <xf numFmtId="173" fontId="4" fillId="18" borderId="37" xfId="0" applyNumberFormat="1" applyFont="1" applyFill="1" applyBorder="1"/>
    <xf numFmtId="0" fontId="24" fillId="0" borderId="0" xfId="0" applyFont="1" applyFill="1" applyAlignment="1">
      <alignment horizontal="right"/>
    </xf>
    <xf numFmtId="0" fontId="59" fillId="14" borderId="0" xfId="0" applyFont="1" applyFill="1" applyAlignment="1">
      <alignment horizontal="right" wrapText="1"/>
    </xf>
    <xf numFmtId="0" fontId="2" fillId="0" borderId="9" xfId="0" applyFont="1" applyFill="1" applyBorder="1" applyAlignment="1">
      <alignment horizontal="center" vertical="center"/>
    </xf>
    <xf numFmtId="0" fontId="72" fillId="0" borderId="0" xfId="0" applyFont="1"/>
    <xf numFmtId="1" fontId="64" fillId="0" borderId="0" xfId="0" applyNumberFormat="1" applyFont="1" applyFill="1"/>
    <xf numFmtId="44" fontId="64" fillId="0" borderId="0" xfId="1" applyNumberFormat="1" applyFont="1" applyFill="1"/>
    <xf numFmtId="178" fontId="64" fillId="0" borderId="0" xfId="1" applyNumberFormat="1" applyFont="1" applyFill="1"/>
    <xf numFmtId="44" fontId="64" fillId="0" borderId="0" xfId="0" applyNumberFormat="1" applyFont="1" applyFill="1"/>
    <xf numFmtId="9" fontId="64" fillId="0" borderId="0" xfId="8" applyFont="1" applyFill="1"/>
    <xf numFmtId="169" fontId="64" fillId="0" borderId="0" xfId="0" applyNumberFormat="1" applyFont="1" applyFill="1"/>
    <xf numFmtId="3" fontId="64" fillId="0" borderId="0" xfId="0" applyNumberFormat="1" applyFont="1" applyFill="1"/>
    <xf numFmtId="8" fontId="64" fillId="0" borderId="0" xfId="0" applyNumberFormat="1" applyFont="1" applyFill="1"/>
    <xf numFmtId="0" fontId="5" fillId="0" borderId="0" xfId="0" applyFont="1" applyFill="1" applyAlignment="1">
      <alignment horizontal="left"/>
    </xf>
    <xf numFmtId="0" fontId="5" fillId="0" borderId="0" xfId="0" applyFont="1" applyAlignment="1">
      <alignment horizontal="left"/>
    </xf>
    <xf numFmtId="0" fontId="2" fillId="0" borderId="18" xfId="0" applyFont="1" applyFill="1" applyBorder="1" applyAlignment="1">
      <alignment horizontal="center" vertical="center"/>
    </xf>
    <xf numFmtId="167" fontId="2" fillId="0" borderId="9" xfId="1" applyNumberFormat="1" applyFont="1" applyBorder="1"/>
    <xf numFmtId="0" fontId="2" fillId="0" borderId="13" xfId="0" applyFont="1" applyFill="1" applyBorder="1" applyAlignment="1">
      <alignment horizontal="center" vertical="center"/>
    </xf>
    <xf numFmtId="0" fontId="2" fillId="0" borderId="53" xfId="0" applyFont="1" applyFill="1" applyBorder="1" applyAlignment="1">
      <alignment horizontal="center" vertical="center"/>
    </xf>
    <xf numFmtId="0" fontId="2" fillId="0" borderId="56" xfId="0" applyFont="1" applyFill="1" applyBorder="1" applyAlignment="1">
      <alignment horizontal="center" vertical="center"/>
    </xf>
    <xf numFmtId="167" fontId="2" fillId="0" borderId="56" xfId="1" applyNumberFormat="1" applyFont="1" applyBorder="1"/>
    <xf numFmtId="0" fontId="0" fillId="0" borderId="54" xfId="0" applyFill="1" applyBorder="1" applyAlignment="1">
      <alignment horizontal="center" vertical="center"/>
    </xf>
    <xf numFmtId="0" fontId="2" fillId="0" borderId="56" xfId="0" applyFont="1" applyFill="1" applyBorder="1" applyAlignment="1">
      <alignment horizontal="center" vertical="center" wrapText="1"/>
    </xf>
    <xf numFmtId="0" fontId="0" fillId="11" borderId="45" xfId="0" applyFill="1" applyBorder="1" applyAlignment="1">
      <alignment horizontal="center" vertical="center"/>
    </xf>
    <xf numFmtId="49" fontId="1" fillId="0" borderId="44" xfId="9" applyNumberFormat="1" applyFill="1" applyBorder="1" applyAlignment="1">
      <alignment horizontal="center" vertical="center" wrapText="1"/>
    </xf>
    <xf numFmtId="167" fontId="0" fillId="0" borderId="44" xfId="1" applyNumberFormat="1" applyFont="1" applyBorder="1"/>
    <xf numFmtId="0" fontId="1" fillId="0" borderId="46" xfId="9" applyFill="1" applyBorder="1" applyAlignment="1">
      <alignment horizontal="center" vertical="center"/>
    </xf>
    <xf numFmtId="0" fontId="5" fillId="2" borderId="37" xfId="0" applyFont="1" applyFill="1" applyBorder="1" applyAlignment="1">
      <alignment horizontal="right"/>
    </xf>
    <xf numFmtId="3" fontId="4" fillId="2" borderId="0" xfId="0" applyNumberFormat="1" applyFont="1" applyFill="1"/>
    <xf numFmtId="3" fontId="4" fillId="2" borderId="37" xfId="0" applyNumberFormat="1" applyFont="1" applyFill="1" applyBorder="1"/>
    <xf numFmtId="3" fontId="4" fillId="2" borderId="0" xfId="0" applyNumberFormat="1" applyFont="1" applyFill="1" applyBorder="1"/>
    <xf numFmtId="3" fontId="4" fillId="2" borderId="0" xfId="0" applyNumberFormat="1" applyFont="1" applyFill="1" applyBorder="1" applyAlignment="1">
      <alignment horizontal="right"/>
    </xf>
    <xf numFmtId="3" fontId="4" fillId="2" borderId="0" xfId="6" applyNumberFormat="1" applyFont="1" applyFill="1"/>
    <xf numFmtId="167" fontId="4" fillId="2" borderId="0" xfId="1" applyNumberFormat="1" applyFont="1" applyFill="1" applyBorder="1"/>
    <xf numFmtId="175" fontId="4" fillId="2" borderId="0" xfId="8" applyNumberFormat="1" applyFont="1" applyFill="1" applyBorder="1"/>
    <xf numFmtId="3" fontId="5" fillId="2" borderId="38" xfId="0" applyNumberFormat="1" applyFont="1" applyFill="1" applyBorder="1"/>
    <xf numFmtId="3" fontId="4" fillId="2" borderId="0" xfId="6" applyNumberFormat="1" applyFont="1" applyFill="1" applyBorder="1"/>
    <xf numFmtId="0" fontId="4" fillId="2" borderId="0" xfId="0" applyFont="1" applyFill="1" applyAlignment="1">
      <alignment horizontal="left" indent="1"/>
    </xf>
    <xf numFmtId="0" fontId="4" fillId="0" borderId="9" xfId="0" applyFont="1" applyBorder="1" applyAlignment="1">
      <alignment horizontal="center" vertical="center" wrapText="1"/>
    </xf>
    <xf numFmtId="0" fontId="64" fillId="0" borderId="0" xfId="0" applyFont="1" applyFill="1" applyAlignment="1">
      <alignment horizontal="right"/>
    </xf>
    <xf numFmtId="170" fontId="17" fillId="0" borderId="0" xfId="0" applyNumberFormat="1" applyFont="1" applyBorder="1" applyAlignment="1">
      <alignment horizontal="center" wrapText="1"/>
    </xf>
    <xf numFmtId="9" fontId="0" fillId="0" borderId="0" xfId="0" applyNumberFormat="1" applyAlignment="1">
      <alignment horizontal="center" vertical="center" wrapText="1"/>
    </xf>
    <xf numFmtId="0" fontId="2" fillId="0" borderId="0" xfId="0" applyFont="1" applyAlignment="1">
      <alignment horizontal="left" vertical="top" wrapText="1"/>
    </xf>
    <xf numFmtId="0" fontId="53" fillId="0" borderId="0" xfId="0" applyFont="1" applyAlignment="1">
      <alignment wrapText="1"/>
    </xf>
    <xf numFmtId="0" fontId="0" fillId="14" borderId="0" xfId="0" applyFill="1" applyAlignment="1">
      <alignment vertical="center" wrapText="1"/>
    </xf>
    <xf numFmtId="0" fontId="2" fillId="14" borderId="22" xfId="0" applyFont="1" applyFill="1" applyBorder="1" applyAlignment="1">
      <alignment wrapText="1"/>
    </xf>
    <xf numFmtId="0" fontId="2" fillId="14" borderId="22" xfId="0" applyFont="1" applyFill="1" applyBorder="1" applyAlignment="1">
      <alignment horizontal="center" vertical="center" wrapText="1"/>
    </xf>
    <xf numFmtId="0" fontId="0" fillId="15" borderId="9" xfId="0" applyFill="1" applyBorder="1" applyAlignment="1">
      <alignment wrapText="1"/>
    </xf>
    <xf numFmtId="0" fontId="0" fillId="0" borderId="9" xfId="0" applyBorder="1" applyAlignment="1">
      <alignment horizontal="right" wrapText="1"/>
    </xf>
    <xf numFmtId="167" fontId="0" fillId="6" borderId="9" xfId="0" applyNumberFormat="1" applyFill="1" applyBorder="1" applyAlignment="1">
      <alignment horizontal="right" wrapText="1"/>
    </xf>
    <xf numFmtId="0" fontId="2" fillId="0" borderId="0" xfId="0" applyFont="1" applyAlignment="1">
      <alignment wrapText="1"/>
    </xf>
    <xf numFmtId="0" fontId="59" fillId="0" borderId="0" xfId="0" applyFont="1" applyAlignment="1">
      <alignment horizontal="right" wrapText="1"/>
    </xf>
    <xf numFmtId="0" fontId="0" fillId="6" borderId="9" xfId="0" applyFill="1" applyBorder="1" applyAlignment="1">
      <alignment horizontal="right" wrapText="1"/>
    </xf>
    <xf numFmtId="0" fontId="0" fillId="14" borderId="0" xfId="0" applyFill="1" applyAlignment="1">
      <alignment horizontal="right" wrapText="1"/>
    </xf>
    <xf numFmtId="0" fontId="4" fillId="0" borderId="0" xfId="3" applyFont="1" applyProtection="1">
      <protection locked="0"/>
    </xf>
    <xf numFmtId="0" fontId="2" fillId="14" borderId="0" xfId="0" applyFont="1" applyFill="1"/>
    <xf numFmtId="0" fontId="55" fillId="16" borderId="0" xfId="0" applyFont="1" applyFill="1" applyAlignment="1">
      <alignment vertical="center"/>
    </xf>
    <xf numFmtId="0" fontId="10" fillId="0" borderId="0" xfId="3" applyProtection="1">
      <protection locked="0"/>
    </xf>
    <xf numFmtId="0" fontId="24" fillId="0" borderId="0" xfId="0" applyFont="1" applyAlignment="1">
      <alignment wrapText="1"/>
    </xf>
    <xf numFmtId="0" fontId="0" fillId="0" borderId="0" xfId="0" applyAlignment="1"/>
    <xf numFmtId="0" fontId="2" fillId="2" borderId="7" xfId="0" applyFont="1" applyFill="1" applyBorder="1" applyAlignment="1">
      <alignment horizontal="center" vertical="center" wrapText="1"/>
    </xf>
    <xf numFmtId="14" fontId="33" fillId="6" borderId="58" xfId="21" applyNumberFormat="1" applyFill="1" applyBorder="1" applyAlignment="1">
      <alignment wrapText="1"/>
    </xf>
    <xf numFmtId="0" fontId="71" fillId="2" borderId="0" xfId="0" applyFont="1" applyFill="1"/>
    <xf numFmtId="0" fontId="0" fillId="14" borderId="0" xfId="0" applyFill="1"/>
    <xf numFmtId="0" fontId="0" fillId="0" borderId="0" xfId="0" applyAlignment="1">
      <alignment horizontal="right" wrapText="1"/>
    </xf>
    <xf numFmtId="0" fontId="4" fillId="0" borderId="0" xfId="0" applyFont="1" applyAlignment="1">
      <alignment horizontal="right" wrapText="1"/>
    </xf>
    <xf numFmtId="8" fontId="0" fillId="0" borderId="0" xfId="0" applyNumberFormat="1" applyBorder="1" applyAlignment="1">
      <alignment wrapText="1"/>
    </xf>
    <xf numFmtId="0" fontId="24" fillId="0" borderId="0" xfId="0" applyFont="1" applyAlignment="1">
      <alignment horizontal="right"/>
    </xf>
    <xf numFmtId="0" fontId="2" fillId="14" borderId="0" xfId="0" applyFont="1" applyFill="1" applyAlignment="1">
      <alignment horizontal="left"/>
    </xf>
    <xf numFmtId="0" fontId="0" fillId="19" borderId="0" xfId="0" applyFill="1" applyBorder="1"/>
    <xf numFmtId="0" fontId="0" fillId="2" borderId="0" xfId="0" applyFill="1" applyAlignment="1">
      <alignment vertical="top"/>
    </xf>
    <xf numFmtId="0" fontId="0" fillId="9" borderId="0" xfId="0" applyFill="1" applyBorder="1"/>
    <xf numFmtId="0" fontId="0" fillId="23" borderId="26" xfId="0" applyFill="1" applyBorder="1" applyAlignment="1">
      <alignment vertical="center"/>
    </xf>
    <xf numFmtId="0" fontId="0" fillId="23" borderId="24" xfId="0" applyFill="1" applyBorder="1"/>
    <xf numFmtId="0" fontId="0" fillId="23" borderId="34" xfId="0" applyFill="1" applyBorder="1"/>
    <xf numFmtId="0" fontId="0" fillId="23" borderId="23" xfId="0" applyFill="1" applyBorder="1"/>
    <xf numFmtId="0" fontId="0" fillId="23" borderId="0" xfId="0" applyFill="1" applyBorder="1"/>
    <xf numFmtId="0" fontId="0" fillId="23" borderId="31" xfId="0" applyFill="1" applyBorder="1"/>
    <xf numFmtId="0" fontId="0" fillId="23" borderId="33" xfId="0" applyFill="1" applyBorder="1" applyAlignment="1">
      <alignment vertical="top"/>
    </xf>
    <xf numFmtId="0" fontId="0" fillId="23" borderId="22" xfId="0" applyFill="1" applyBorder="1" applyAlignment="1">
      <alignment vertical="top"/>
    </xf>
    <xf numFmtId="0" fontId="7" fillId="19" borderId="0" xfId="2" applyFill="1" applyBorder="1"/>
    <xf numFmtId="0" fontId="7" fillId="9" borderId="0" xfId="2" applyFill="1" applyBorder="1"/>
    <xf numFmtId="0" fontId="0" fillId="23" borderId="24" xfId="0" applyFill="1" applyBorder="1" applyAlignment="1">
      <alignment vertical="center"/>
    </xf>
    <xf numFmtId="0" fontId="0" fillId="23" borderId="30" xfId="0" applyFill="1" applyBorder="1"/>
    <xf numFmtId="0" fontId="0" fillId="23" borderId="0" xfId="0" applyFill="1"/>
    <xf numFmtId="0" fontId="0" fillId="6" borderId="42" xfId="9" applyFont="1" applyBorder="1" applyAlignment="1">
      <alignment horizontal="centerContinuous" vertical="top" wrapText="1"/>
    </xf>
    <xf numFmtId="0" fontId="2" fillId="23" borderId="0" xfId="0" applyFont="1" applyFill="1"/>
    <xf numFmtId="0" fontId="4" fillId="0" borderId="0" xfId="0" applyFont="1" applyFill="1" applyAlignment="1">
      <alignment horizontal="right"/>
    </xf>
    <xf numFmtId="181" fontId="0" fillId="0" borderId="0" xfId="0" applyNumberFormat="1" applyFill="1" applyBorder="1" applyAlignment="1">
      <alignment wrapText="1"/>
    </xf>
    <xf numFmtId="0" fontId="59" fillId="0" borderId="0" xfId="0" applyFont="1" applyFill="1" applyAlignment="1">
      <alignment horizontal="right" wrapText="1"/>
    </xf>
    <xf numFmtId="0" fontId="0" fillId="0" borderId="0" xfId="0" applyFill="1" applyAlignment="1">
      <alignment wrapText="1"/>
    </xf>
    <xf numFmtId="0" fontId="0" fillId="14" borderId="0" xfId="0" applyFill="1" applyBorder="1"/>
    <xf numFmtId="168" fontId="59" fillId="0" borderId="0" xfId="0" applyNumberFormat="1" applyFont="1" applyFill="1" applyAlignment="1">
      <alignment horizontal="right" wrapText="1"/>
    </xf>
    <xf numFmtId="1" fontId="1" fillId="0" borderId="0" xfId="9" applyNumberFormat="1" applyFill="1" applyBorder="1" applyAlignment="1">
      <alignment horizontal="center" vertical="center"/>
    </xf>
    <xf numFmtId="0" fontId="2" fillId="19" borderId="23" xfId="0" applyFont="1" applyFill="1" applyBorder="1"/>
    <xf numFmtId="0" fontId="0" fillId="19" borderId="31" xfId="0" applyFill="1" applyBorder="1"/>
    <xf numFmtId="173" fontId="33" fillId="6" borderId="58" xfId="21" applyNumberFormat="1" applyFill="1" applyBorder="1" applyAlignment="1">
      <alignment wrapText="1"/>
    </xf>
    <xf numFmtId="0" fontId="4" fillId="0" borderId="0" xfId="0" applyFont="1" applyFill="1" applyAlignment="1">
      <alignment horizontal="left"/>
    </xf>
    <xf numFmtId="0" fontId="24" fillId="0" borderId="0" xfId="0" applyFont="1" applyFill="1"/>
    <xf numFmtId="1" fontId="4" fillId="0" borderId="0" xfId="0" applyNumberFormat="1" applyFont="1" applyFill="1" applyBorder="1" applyAlignment="1">
      <alignment wrapText="1"/>
    </xf>
    <xf numFmtId="1" fontId="0" fillId="0" borderId="0" xfId="0" applyNumberFormat="1" applyFill="1" applyBorder="1" applyAlignment="1">
      <alignment wrapText="1"/>
    </xf>
    <xf numFmtId="173" fontId="4" fillId="0" borderId="0" xfId="0" applyNumberFormat="1" applyFont="1" applyFill="1" applyAlignment="1">
      <alignment horizontal="center"/>
    </xf>
    <xf numFmtId="1" fontId="4" fillId="0" borderId="45" xfId="0" applyNumberFormat="1" applyFont="1" applyFill="1" applyBorder="1" applyAlignment="1">
      <alignment horizontal="center" vertical="center"/>
    </xf>
    <xf numFmtId="8" fontId="0" fillId="0" borderId="0" xfId="0" applyNumberFormat="1" applyFont="1" applyBorder="1"/>
    <xf numFmtId="10" fontId="0" fillId="0" borderId="0" xfId="0" applyNumberFormat="1" applyFont="1" applyBorder="1"/>
    <xf numFmtId="44" fontId="0" fillId="0" borderId="0" xfId="1" applyFont="1" applyBorder="1"/>
    <xf numFmtId="9" fontId="0" fillId="0" borderId="0" xfId="8" applyFont="1" applyBorder="1"/>
    <xf numFmtId="175" fontId="0" fillId="0" borderId="0" xfId="8" applyNumberFormat="1" applyFont="1" applyBorder="1"/>
    <xf numFmtId="17" fontId="0" fillId="0" borderId="0" xfId="0" applyNumberFormat="1" applyFont="1" applyBorder="1"/>
    <xf numFmtId="1" fontId="24" fillId="0" borderId="0" xfId="0" applyNumberFormat="1" applyFont="1" applyAlignment="1">
      <alignment horizontal="center" vertical="center"/>
    </xf>
    <xf numFmtId="2" fontId="24" fillId="0" borderId="0" xfId="0" applyNumberFormat="1" applyFont="1" applyAlignment="1">
      <alignment horizontal="center" vertical="center"/>
    </xf>
    <xf numFmtId="2" fontId="68" fillId="0" borderId="0" xfId="0" applyNumberFormat="1" applyFont="1"/>
    <xf numFmtId="173" fontId="64" fillId="0" borderId="0" xfId="0" applyNumberFormat="1" applyFont="1" applyFill="1" applyBorder="1"/>
    <xf numFmtId="44" fontId="10" fillId="0" borderId="0" xfId="1" applyFont="1" applyFill="1" applyBorder="1"/>
    <xf numFmtId="0" fontId="0" fillId="21" borderId="1" xfId="9" applyFont="1" applyFill="1" applyAlignment="1">
      <alignment vertical="center" wrapText="1"/>
    </xf>
    <xf numFmtId="0" fontId="1" fillId="21" borderId="1" xfId="9" applyFill="1" applyAlignment="1">
      <alignment vertical="center" wrapText="1"/>
    </xf>
    <xf numFmtId="168" fontId="0" fillId="2" borderId="9" xfId="7" applyNumberFormat="1" applyFont="1" applyFill="1" applyBorder="1" applyAlignment="1">
      <alignment horizontal="right" wrapText="1"/>
    </xf>
    <xf numFmtId="3" fontId="0" fillId="0" borderId="9" xfId="0" applyNumberFormat="1" applyBorder="1" applyAlignment="1">
      <alignment horizontal="right" wrapText="1"/>
    </xf>
    <xf numFmtId="0" fontId="0" fillId="19" borderId="0" xfId="0" applyFill="1"/>
    <xf numFmtId="0" fontId="73" fillId="0" borderId="0" xfId="0" applyFont="1" applyFill="1"/>
    <xf numFmtId="0" fontId="2" fillId="23" borderId="0" xfId="0" applyFont="1" applyFill="1" applyBorder="1"/>
    <xf numFmtId="167" fontId="10" fillId="2" borderId="6" xfId="10" applyNumberFormat="1" applyFont="1" applyFill="1" applyBorder="1" applyAlignment="1">
      <alignment horizontal="right" vertical="center"/>
    </xf>
    <xf numFmtId="0" fontId="72" fillId="0" borderId="0" xfId="0" applyFont="1" applyFill="1"/>
    <xf numFmtId="167" fontId="0" fillId="0" borderId="44" xfId="1" applyNumberFormat="1" applyFont="1" applyFill="1" applyBorder="1"/>
    <xf numFmtId="169" fontId="24" fillId="0" borderId="0" xfId="0" applyNumberFormat="1" applyFont="1" applyFill="1"/>
    <xf numFmtId="0" fontId="0" fillId="0" borderId="0" xfId="0" applyFont="1" applyFill="1" applyBorder="1" applyAlignment="1">
      <alignment horizontal="left"/>
    </xf>
    <xf numFmtId="0" fontId="74" fillId="0" borderId="0" xfId="0" applyFont="1" applyAlignment="1">
      <alignment horizontal="left" vertical="center" wrapText="1" indent="1"/>
    </xf>
    <xf numFmtId="0" fontId="74" fillId="0" borderId="0" xfId="0" applyFont="1" applyAlignment="1">
      <alignment vertical="center" wrapText="1"/>
    </xf>
    <xf numFmtId="6" fontId="4" fillId="0" borderId="0" xfId="0" applyNumberFormat="1" applyFont="1"/>
    <xf numFmtId="6" fontId="0" fillId="0" borderId="0" xfId="0" applyNumberFormat="1" applyFont="1"/>
    <xf numFmtId="9" fontId="0" fillId="0" borderId="0" xfId="0" applyNumberFormat="1" applyFont="1"/>
    <xf numFmtId="167" fontId="4" fillId="0" borderId="0" xfId="1" applyNumberFormat="1" applyFont="1"/>
    <xf numFmtId="44" fontId="1" fillId="0" borderId="0" xfId="1" applyFill="1" applyBorder="1" applyAlignment="1">
      <alignment vertical="center"/>
    </xf>
    <xf numFmtId="167" fontId="0" fillId="25" borderId="61" xfId="0" applyNumberFormat="1" applyFill="1" applyBorder="1"/>
    <xf numFmtId="175" fontId="0" fillId="25" borderId="61" xfId="8" applyNumberFormat="1" applyFont="1" applyFill="1" applyBorder="1"/>
    <xf numFmtId="1" fontId="0" fillId="25" borderId="61" xfId="0" applyNumberFormat="1" applyFill="1" applyBorder="1"/>
    <xf numFmtId="0" fontId="0" fillId="0" borderId="0" xfId="0" applyAlignment="1">
      <alignment horizontal="left"/>
    </xf>
    <xf numFmtId="44" fontId="0" fillId="0" borderId="0" xfId="63" applyNumberFormat="1" applyFont="1" applyFill="1" applyAlignment="1">
      <alignment vertical="center"/>
    </xf>
    <xf numFmtId="6" fontId="0" fillId="0" borderId="0" xfId="0" applyNumberFormat="1"/>
    <xf numFmtId="8" fontId="0" fillId="0" borderId="0" xfId="0" applyNumberFormat="1"/>
    <xf numFmtId="9" fontId="0" fillId="0" borderId="0" xfId="0" applyNumberFormat="1"/>
    <xf numFmtId="9" fontId="4" fillId="0" borderId="0" xfId="0" applyNumberFormat="1" applyFont="1"/>
    <xf numFmtId="44" fontId="4" fillId="0" borderId="0" xfId="1" applyNumberFormat="1" applyFont="1"/>
    <xf numFmtId="44" fontId="4" fillId="0" borderId="0" xfId="1" applyNumberFormat="1" applyFont="1" applyAlignment="1">
      <alignment horizontal="left"/>
    </xf>
    <xf numFmtId="44" fontId="0" fillId="0" borderId="0" xfId="1" applyFont="1"/>
    <xf numFmtId="178" fontId="0" fillId="0" borderId="0" xfId="1" applyNumberFormat="1" applyFont="1"/>
    <xf numFmtId="44" fontId="0" fillId="0" borderId="9" xfId="63" applyNumberFormat="1" applyFont="1" applyFill="1" applyBorder="1" applyAlignment="1">
      <alignment vertical="center"/>
    </xf>
    <xf numFmtId="3" fontId="4" fillId="11" borderId="37" xfId="0" applyNumberFormat="1" applyFont="1" applyFill="1" applyBorder="1"/>
    <xf numFmtId="3" fontId="4" fillId="11" borderId="0" xfId="0" applyNumberFormat="1" applyFont="1" applyFill="1"/>
    <xf numFmtId="3" fontId="75" fillId="0" borderId="0" xfId="0" applyNumberFormat="1" applyFont="1" applyFill="1"/>
    <xf numFmtId="3" fontId="75" fillId="2" borderId="0" xfId="0" applyNumberFormat="1" applyFont="1" applyFill="1"/>
    <xf numFmtId="3" fontId="75" fillId="2" borderId="37" xfId="0" applyNumberFormat="1" applyFont="1" applyFill="1" applyBorder="1"/>
    <xf numFmtId="3" fontId="75" fillId="2" borderId="0" xfId="0" applyNumberFormat="1" applyFont="1" applyFill="1" applyBorder="1"/>
    <xf numFmtId="3" fontId="75" fillId="2" borderId="0" xfId="0" applyNumberFormat="1" applyFont="1" applyFill="1" applyBorder="1" applyAlignment="1">
      <alignment horizontal="right"/>
    </xf>
    <xf numFmtId="0" fontId="75" fillId="2" borderId="0" xfId="0" applyFont="1" applyFill="1"/>
    <xf numFmtId="3" fontId="75" fillId="2" borderId="0" xfId="6" applyNumberFormat="1" applyFont="1" applyFill="1"/>
    <xf numFmtId="167" fontId="75" fillId="2" borderId="0" xfId="1" applyNumberFormat="1" applyFont="1" applyFill="1" applyBorder="1"/>
    <xf numFmtId="175" fontId="75" fillId="2" borderId="0" xfId="8" applyNumberFormat="1" applyFont="1" applyFill="1" applyBorder="1"/>
    <xf numFmtId="3" fontId="76" fillId="2" borderId="38" xfId="0" applyNumberFormat="1" applyFont="1" applyFill="1" applyBorder="1"/>
    <xf numFmtId="3" fontId="75" fillId="2" borderId="0" xfId="6" applyNumberFormat="1" applyFont="1" applyFill="1" applyBorder="1"/>
    <xf numFmtId="167" fontId="0" fillId="18" borderId="61" xfId="1" applyNumberFormat="1" applyFont="1" applyFill="1" applyBorder="1" applyAlignment="1">
      <alignment horizontal="center" vertical="center"/>
    </xf>
    <xf numFmtId="175" fontId="0" fillId="17" borderId="61" xfId="1" applyNumberFormat="1" applyFont="1" applyFill="1" applyBorder="1" applyAlignment="1">
      <alignment vertical="center"/>
    </xf>
    <xf numFmtId="0" fontId="59" fillId="0" borderId="0" xfId="0" applyFont="1" applyFill="1" applyBorder="1"/>
    <xf numFmtId="0" fontId="59" fillId="0" borderId="0" xfId="0" applyFont="1" applyAlignment="1">
      <alignment horizontal="right"/>
    </xf>
    <xf numFmtId="3" fontId="0" fillId="25" borderId="61" xfId="0" applyNumberFormat="1" applyFill="1" applyBorder="1"/>
    <xf numFmtId="167" fontId="0" fillId="0" borderId="0" xfId="0" applyNumberFormat="1" applyFill="1" applyBorder="1" applyAlignment="1">
      <alignment horizontal="center" vertical="top" wrapText="1"/>
    </xf>
    <xf numFmtId="0" fontId="4" fillId="2" borderId="0" xfId="0" applyFont="1" applyFill="1" applyAlignment="1">
      <alignment vertical="top"/>
    </xf>
    <xf numFmtId="167" fontId="4" fillId="0" borderId="0" xfId="1" applyNumberFormat="1" applyFont="1" applyFill="1" applyBorder="1"/>
    <xf numFmtId="0" fontId="4" fillId="2" borderId="0" xfId="0" applyFont="1" applyFill="1" applyAlignment="1">
      <alignment horizontal="left"/>
    </xf>
    <xf numFmtId="3" fontId="4" fillId="11" borderId="2" xfId="0" applyNumberFormat="1" applyFont="1" applyFill="1" applyBorder="1"/>
    <xf numFmtId="1" fontId="5" fillId="0" borderId="37" xfId="0" applyNumberFormat="1" applyFont="1" applyFill="1" applyBorder="1" applyAlignment="1">
      <alignment horizontal="center" vertical="center"/>
    </xf>
    <xf numFmtId="0" fontId="4" fillId="0" borderId="0" xfId="0" applyFont="1" applyFill="1" applyAlignment="1">
      <alignment horizontal="left" indent="1"/>
    </xf>
    <xf numFmtId="173" fontId="4" fillId="0" borderId="2" xfId="0" applyNumberFormat="1" applyFont="1" applyFill="1" applyBorder="1" applyAlignment="1">
      <alignment horizontal="center" vertical="center"/>
    </xf>
    <xf numFmtId="3" fontId="4" fillId="0" borderId="0" xfId="0" applyNumberFormat="1" applyFont="1" applyFill="1" applyBorder="1" applyAlignment="1">
      <alignment horizontal="right"/>
    </xf>
    <xf numFmtId="173" fontId="0" fillId="0" borderId="0" xfId="0" applyNumberFormat="1" applyFont="1" applyFill="1" applyAlignment="1">
      <alignment horizontal="center" vertical="center"/>
    </xf>
    <xf numFmtId="0" fontId="5" fillId="2" borderId="0" xfId="0" applyFont="1" applyFill="1" applyAlignment="1">
      <alignment horizontal="left"/>
    </xf>
    <xf numFmtId="3" fontId="4" fillId="11" borderId="0" xfId="0" applyNumberFormat="1" applyFont="1" applyFill="1" applyBorder="1"/>
    <xf numFmtId="3" fontId="4" fillId="0" borderId="0" xfId="0" applyNumberFormat="1" applyFont="1" applyFill="1"/>
    <xf numFmtId="0" fontId="77" fillId="2" borderId="0" xfId="0" applyFont="1" applyFill="1"/>
    <xf numFmtId="0" fontId="77" fillId="0" borderId="0" xfId="0" applyFont="1"/>
    <xf numFmtId="0" fontId="77" fillId="0" borderId="0" xfId="0" applyFont="1" applyFill="1"/>
    <xf numFmtId="0" fontId="78" fillId="2" borderId="0" xfId="0" applyFont="1" applyFill="1" applyAlignment="1">
      <alignment vertical="center"/>
    </xf>
    <xf numFmtId="0" fontId="77" fillId="0" borderId="0" xfId="0" applyFont="1" applyAlignment="1"/>
    <xf numFmtId="0" fontId="79" fillId="0" borderId="37" xfId="0" applyFont="1" applyBorder="1" applyAlignment="1"/>
    <xf numFmtId="49" fontId="77" fillId="2" borderId="0" xfId="0" applyNumberFormat="1" applyFont="1" applyFill="1" applyBorder="1"/>
    <xf numFmtId="0" fontId="77" fillId="2" borderId="0" xfId="0" applyFont="1" applyFill="1" applyBorder="1"/>
    <xf numFmtId="9" fontId="77" fillId="2" borderId="0" xfId="8" applyNumberFormat="1" applyFont="1" applyFill="1" applyBorder="1"/>
    <xf numFmtId="0" fontId="1" fillId="6" borderId="59" xfId="9" applyBorder="1" applyAlignment="1">
      <alignment vertical="center"/>
    </xf>
    <xf numFmtId="0" fontId="0" fillId="0" borderId="0" xfId="0" applyAlignment="1">
      <alignment horizontal="left" indent="2"/>
    </xf>
    <xf numFmtId="167" fontId="4" fillId="10" borderId="0" xfId="1" applyNumberFormat="1" applyFont="1" applyFill="1"/>
    <xf numFmtId="0" fontId="0" fillId="10" borderId="0" xfId="0" applyFont="1" applyFill="1"/>
    <xf numFmtId="0" fontId="4" fillId="10" borderId="0" xfId="0" applyFont="1" applyFill="1"/>
    <xf numFmtId="43" fontId="52" fillId="0" borderId="0" xfId="9" applyNumberFormat="1" applyFont="1" applyFill="1" applyBorder="1" applyAlignment="1"/>
    <xf numFmtId="44" fontId="0" fillId="25" borderId="61" xfId="1" applyFont="1" applyFill="1" applyBorder="1"/>
    <xf numFmtId="44" fontId="0" fillId="17" borderId="61" xfId="1" applyFont="1" applyFill="1" applyBorder="1" applyAlignment="1">
      <alignment vertical="center"/>
    </xf>
    <xf numFmtId="0" fontId="4" fillId="2" borderId="0" xfId="0" applyFont="1" applyFill="1" applyAlignment="1">
      <alignment horizontal="right"/>
    </xf>
    <xf numFmtId="3" fontId="32" fillId="2" borderId="0" xfId="0" applyNumberFormat="1" applyFont="1" applyFill="1" applyBorder="1" applyAlignment="1">
      <alignment horizontal="right"/>
    </xf>
    <xf numFmtId="3" fontId="32" fillId="2" borderId="0" xfId="0" applyNumberFormat="1" applyFont="1" applyFill="1" applyBorder="1"/>
    <xf numFmtId="169" fontId="32" fillId="2" borderId="0" xfId="0" applyNumberFormat="1" applyFont="1" applyFill="1" applyBorder="1"/>
    <xf numFmtId="180" fontId="32" fillId="2" borderId="0" xfId="1" applyNumberFormat="1" applyFont="1" applyFill="1" applyBorder="1" applyAlignment="1">
      <alignment horizontal="right"/>
    </xf>
    <xf numFmtId="182" fontId="32" fillId="2" borderId="0" xfId="0" applyNumberFormat="1" applyFont="1" applyFill="1" applyBorder="1" applyAlignment="1">
      <alignment horizontal="right"/>
    </xf>
    <xf numFmtId="0" fontId="32" fillId="2" borderId="31" xfId="0" applyFont="1" applyFill="1" applyBorder="1" applyAlignment="1"/>
    <xf numFmtId="2" fontId="32" fillId="2" borderId="0" xfId="0" applyNumberFormat="1" applyFont="1" applyFill="1" applyBorder="1" applyAlignment="1">
      <alignment horizontal="right"/>
    </xf>
    <xf numFmtId="169" fontId="32" fillId="2" borderId="0" xfId="0" applyNumberFormat="1" applyFont="1" applyFill="1" applyBorder="1" applyAlignment="1">
      <alignment horizontal="right"/>
    </xf>
    <xf numFmtId="1" fontId="32" fillId="2" borderId="0" xfId="0" applyNumberFormat="1" applyFont="1" applyFill="1" applyBorder="1" applyAlignment="1">
      <alignment horizontal="right"/>
    </xf>
    <xf numFmtId="0" fontId="32" fillId="2" borderId="26" xfId="0" applyFont="1" applyFill="1" applyBorder="1" applyAlignment="1">
      <alignment horizontal="right"/>
    </xf>
    <xf numFmtId="182" fontId="32" fillId="2" borderId="24" xfId="0" applyNumberFormat="1" applyFont="1" applyFill="1" applyBorder="1" applyAlignment="1">
      <alignment horizontal="right"/>
    </xf>
    <xf numFmtId="0" fontId="32" fillId="2" borderId="34" xfId="0" applyFont="1" applyFill="1" applyBorder="1" applyAlignment="1"/>
    <xf numFmtId="0" fontId="32" fillId="2" borderId="30" xfId="0" applyFont="1" applyFill="1" applyBorder="1" applyAlignment="1">
      <alignment horizontal="left"/>
    </xf>
    <xf numFmtId="175" fontId="32" fillId="2" borderId="22" xfId="8" applyNumberFormat="1" applyFont="1" applyFill="1" applyBorder="1" applyAlignment="1">
      <alignment horizontal="right"/>
    </xf>
    <xf numFmtId="173" fontId="32" fillId="2" borderId="0" xfId="1" applyNumberFormat="1" applyFont="1" applyFill="1" applyBorder="1" applyAlignment="1">
      <alignment horizontal="right"/>
    </xf>
    <xf numFmtId="0" fontId="32" fillId="2" borderId="0" xfId="0" applyFont="1" applyFill="1" applyBorder="1" applyAlignment="1"/>
    <xf numFmtId="0" fontId="2" fillId="2" borderId="26" xfId="0" applyFont="1" applyFill="1" applyBorder="1"/>
    <xf numFmtId="170" fontId="32" fillId="2" borderId="0" xfId="1" applyNumberFormat="1" applyFont="1" applyFill="1" applyBorder="1"/>
    <xf numFmtId="9" fontId="32" fillId="2" borderId="0" xfId="8" applyFont="1" applyFill="1" applyBorder="1"/>
    <xf numFmtId="168" fontId="32" fillId="2" borderId="0" xfId="7" applyNumberFormat="1" applyFont="1" applyFill="1" applyBorder="1"/>
    <xf numFmtId="170" fontId="32" fillId="2" borderId="22" xfId="1" applyNumberFormat="1" applyFont="1" applyFill="1" applyBorder="1"/>
    <xf numFmtId="0" fontId="0" fillId="2" borderId="0" xfId="0" applyFont="1" applyFill="1" applyBorder="1"/>
    <xf numFmtId="171" fontId="29" fillId="2" borderId="0" xfId="17" applyNumberFormat="1" applyFont="1" applyFill="1"/>
    <xf numFmtId="172" fontId="29" fillId="2" borderId="0" xfId="17" applyNumberFormat="1" applyFont="1" applyFill="1" applyBorder="1"/>
    <xf numFmtId="0" fontId="0" fillId="2" borderId="0" xfId="0" quotePrefix="1" applyFont="1" applyFill="1" applyBorder="1"/>
    <xf numFmtId="2" fontId="0" fillId="0" borderId="0" xfId="0" applyNumberFormat="1" applyFont="1"/>
    <xf numFmtId="0" fontId="0" fillId="2" borderId="0" xfId="0" applyFont="1" applyFill="1" applyBorder="1" applyAlignment="1">
      <alignment horizontal="left" vertical="top"/>
    </xf>
    <xf numFmtId="0" fontId="0" fillId="2" borderId="0" xfId="0" applyFont="1" applyFill="1" applyBorder="1" applyAlignment="1">
      <alignment horizontal="right" vertical="top"/>
    </xf>
    <xf numFmtId="0" fontId="4" fillId="2" borderId="0" xfId="3" applyFont="1" applyFill="1" applyAlignment="1">
      <alignment horizontal="right"/>
    </xf>
    <xf numFmtId="49" fontId="5" fillId="0" borderId="0" xfId="0" applyNumberFormat="1" applyFont="1" applyFill="1" applyBorder="1" applyAlignment="1">
      <alignment horizontal="left" vertical="center"/>
    </xf>
    <xf numFmtId="167" fontId="2" fillId="0" borderId="5" xfId="1" applyNumberFormat="1" applyFont="1" applyBorder="1"/>
    <xf numFmtId="167" fontId="0" fillId="0" borderId="52" xfId="1" applyNumberFormat="1" applyFont="1" applyBorder="1"/>
    <xf numFmtId="167" fontId="2" fillId="0" borderId="67" xfId="1" applyNumberFormat="1" applyFont="1" applyBorder="1"/>
    <xf numFmtId="167" fontId="0" fillId="0" borderId="52" xfId="1" applyNumberFormat="1" applyFont="1" applyFill="1" applyBorder="1"/>
    <xf numFmtId="0" fontId="2" fillId="0" borderId="68" xfId="0" applyFont="1" applyBorder="1" applyAlignment="1">
      <alignment horizontal="center" vertical="center" wrapText="1"/>
    </xf>
    <xf numFmtId="0" fontId="0" fillId="2" borderId="70" xfId="0" applyFill="1" applyBorder="1"/>
    <xf numFmtId="0" fontId="0" fillId="0" borderId="18" xfId="0" applyBorder="1" applyAlignment="1">
      <alignment horizontal="center" vertical="center" wrapText="1"/>
    </xf>
    <xf numFmtId="0" fontId="2" fillId="0" borderId="9" xfId="0" applyFont="1" applyBorder="1" applyAlignment="1">
      <alignment horizontal="center" vertical="center" wrapText="1"/>
    </xf>
    <xf numFmtId="0" fontId="2" fillId="0" borderId="5" xfId="0" applyFont="1" applyBorder="1" applyAlignment="1">
      <alignment horizontal="center" vertical="center" wrapText="1"/>
    </xf>
    <xf numFmtId="167" fontId="2" fillId="0" borderId="9" xfId="1" applyNumberFormat="1" applyFont="1" applyBorder="1" applyAlignment="1">
      <alignment horizontal="center" vertical="center" wrapText="1"/>
    </xf>
    <xf numFmtId="0" fontId="2" fillId="0" borderId="37" xfId="0" applyFont="1" applyFill="1" applyBorder="1" applyAlignment="1">
      <alignment horizontal="center" vertical="center" wrapText="1"/>
    </xf>
    <xf numFmtId="0" fontId="0" fillId="0" borderId="16" xfId="0" applyBorder="1" applyAlignment="1">
      <alignment horizontal="center" vertical="center" wrapText="1"/>
    </xf>
    <xf numFmtId="0" fontId="2" fillId="0" borderId="50" xfId="0" applyFont="1" applyBorder="1" applyAlignment="1">
      <alignment horizontal="center" vertical="center" wrapText="1"/>
    </xf>
    <xf numFmtId="0" fontId="2" fillId="0" borderId="1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0" fillId="2" borderId="14" xfId="0" applyFill="1" applyBorder="1"/>
    <xf numFmtId="0" fontId="0" fillId="11" borderId="1" xfId="9" applyFont="1" applyFill="1" applyAlignment="1">
      <alignment vertical="center" wrapText="1"/>
    </xf>
    <xf numFmtId="173" fontId="0" fillId="0" borderId="0" xfId="0" applyNumberFormat="1" applyFont="1"/>
    <xf numFmtId="3" fontId="4" fillId="18" borderId="38" xfId="0" applyNumberFormat="1" applyFont="1" applyFill="1" applyBorder="1"/>
    <xf numFmtId="0" fontId="64" fillId="0" borderId="0" xfId="0" applyFont="1" applyFill="1" applyAlignment="1">
      <alignment horizontal="left" indent="2"/>
    </xf>
    <xf numFmtId="8" fontId="24" fillId="0" borderId="0" xfId="0" applyNumberFormat="1" applyFont="1" applyFill="1"/>
    <xf numFmtId="173" fontId="24" fillId="0" borderId="0" xfId="0" applyNumberFormat="1" applyFont="1" applyFill="1"/>
    <xf numFmtId="1" fontId="64" fillId="2" borderId="0" xfId="0" applyNumberFormat="1" applyFont="1" applyFill="1"/>
    <xf numFmtId="1" fontId="81" fillId="2" borderId="0" xfId="3" applyNumberFormat="1" applyFont="1" applyFill="1" applyProtection="1">
      <protection locked="0"/>
    </xf>
    <xf numFmtId="169" fontId="64" fillId="0" borderId="0" xfId="0" applyNumberFormat="1" applyFont="1" applyFill="1" applyAlignment="1">
      <alignment horizontal="right"/>
    </xf>
    <xf numFmtId="6" fontId="64" fillId="0" borderId="0" xfId="0" applyNumberFormat="1" applyFont="1" applyFill="1"/>
    <xf numFmtId="1" fontId="66" fillId="0" borderId="0" xfId="3" applyNumberFormat="1" applyFont="1" applyFill="1" applyProtection="1">
      <protection locked="0"/>
    </xf>
    <xf numFmtId="0" fontId="4" fillId="0" borderId="0" xfId="0" applyFont="1" applyFill="1" applyBorder="1" applyAlignment="1">
      <alignment horizontal="right" wrapText="1"/>
    </xf>
    <xf numFmtId="167" fontId="0" fillId="11" borderId="67" xfId="1" applyNumberFormat="1" applyFont="1" applyFill="1" applyBorder="1"/>
    <xf numFmtId="167" fontId="0" fillId="11" borderId="9" xfId="1" applyNumberFormat="1" applyFont="1" applyFill="1" applyBorder="1"/>
    <xf numFmtId="10" fontId="64" fillId="0" borderId="0" xfId="8" applyNumberFormat="1" applyFont="1" applyFill="1"/>
    <xf numFmtId="171" fontId="64" fillId="0" borderId="0" xfId="0" applyNumberFormat="1" applyFont="1" applyFill="1"/>
    <xf numFmtId="183" fontId="64" fillId="0" borderId="0" xfId="0" applyNumberFormat="1" applyFont="1" applyFill="1"/>
    <xf numFmtId="168" fontId="0" fillId="0" borderId="0" xfId="7" applyNumberFormat="1" applyFont="1"/>
    <xf numFmtId="9" fontId="1" fillId="6" borderId="1" xfId="9" applyNumberFormat="1" applyAlignment="1">
      <alignment vertical="center" wrapText="1"/>
    </xf>
    <xf numFmtId="0" fontId="4" fillId="6" borderId="1" xfId="9" applyFont="1" applyAlignment="1">
      <alignment vertical="center" wrapText="1"/>
    </xf>
    <xf numFmtId="0" fontId="4" fillId="21" borderId="1" xfId="9" applyFont="1" applyFill="1" applyAlignment="1">
      <alignment vertical="center" wrapText="1"/>
    </xf>
    <xf numFmtId="0" fontId="0" fillId="0" borderId="0" xfId="0" pivotButton="1"/>
    <xf numFmtId="0" fontId="0" fillId="0" borderId="0" xfId="0" applyNumberFormat="1"/>
    <xf numFmtId="0" fontId="0" fillId="0" borderId="0" xfId="0" applyAlignment="1">
      <alignment horizontal="left" indent="1"/>
    </xf>
    <xf numFmtId="0" fontId="14" fillId="2" borderId="7" xfId="0" applyFont="1" applyFill="1" applyBorder="1" applyAlignment="1">
      <alignment horizontal="center" vertical="center" wrapText="1"/>
    </xf>
    <xf numFmtId="168" fontId="1" fillId="2" borderId="9" xfId="7" applyNumberFormat="1" applyFont="1" applyFill="1" applyBorder="1" applyAlignment="1">
      <alignment horizontal="right" wrapText="1"/>
    </xf>
    <xf numFmtId="0" fontId="59" fillId="2" borderId="23" xfId="0" applyFont="1" applyFill="1" applyBorder="1" applyAlignment="1">
      <alignment vertical="top"/>
    </xf>
    <xf numFmtId="0" fontId="2" fillId="0" borderId="32" xfId="0" applyFont="1" applyFill="1" applyBorder="1"/>
    <xf numFmtId="0" fontId="32" fillId="2" borderId="32" xfId="0" applyNumberFormat="1" applyFont="1" applyFill="1" applyBorder="1"/>
    <xf numFmtId="0" fontId="32" fillId="2" borderId="72" xfId="0" applyNumberFormat="1" applyFont="1" applyFill="1" applyBorder="1"/>
    <xf numFmtId="0" fontId="32" fillId="2" borderId="29" xfId="0" applyNumberFormat="1" applyFont="1" applyFill="1" applyBorder="1"/>
    <xf numFmtId="0" fontId="66" fillId="0" borderId="0" xfId="3" applyFont="1" applyAlignment="1" applyProtection="1">
      <protection locked="0"/>
    </xf>
    <xf numFmtId="0" fontId="10" fillId="2" borderId="0" xfId="3" applyFont="1" applyFill="1" applyProtection="1">
      <protection locked="0"/>
    </xf>
    <xf numFmtId="164" fontId="10" fillId="2" borderId="0" xfId="3" applyNumberFormat="1" applyFont="1" applyFill="1" applyProtection="1">
      <protection locked="0"/>
    </xf>
    <xf numFmtId="165" fontId="10" fillId="2" borderId="0" xfId="3" applyNumberFormat="1" applyFont="1" applyFill="1" applyProtection="1">
      <protection locked="0"/>
    </xf>
    <xf numFmtId="42" fontId="10" fillId="2" borderId="0" xfId="3" applyNumberFormat="1" applyFont="1" applyFill="1" applyProtection="1">
      <protection locked="0"/>
    </xf>
    <xf numFmtId="0" fontId="10" fillId="2" borderId="0" xfId="3" applyFont="1" applyFill="1" applyAlignment="1" applyProtection="1">
      <alignment horizontal="center"/>
      <protection locked="0"/>
    </xf>
    <xf numFmtId="0" fontId="82" fillId="0" borderId="69" xfId="0" applyFont="1" applyBorder="1" applyAlignment="1">
      <alignment horizontal="center" vertical="center" wrapText="1"/>
    </xf>
    <xf numFmtId="0" fontId="82" fillId="2" borderId="69" xfId="0" applyFont="1" applyFill="1" applyBorder="1" applyAlignment="1">
      <alignment horizontal="center" vertical="center" wrapText="1"/>
    </xf>
    <xf numFmtId="0" fontId="82" fillId="2" borderId="71" xfId="0" applyFont="1" applyFill="1" applyBorder="1" applyAlignment="1">
      <alignment horizontal="center" vertical="center" wrapText="1"/>
    </xf>
    <xf numFmtId="6" fontId="32" fillId="2" borderId="0" xfId="0" applyNumberFormat="1" applyFont="1" applyFill="1" applyBorder="1"/>
    <xf numFmtId="1" fontId="32" fillId="2" borderId="0" xfId="0" applyNumberFormat="1" applyFont="1" applyFill="1" applyBorder="1"/>
    <xf numFmtId="0" fontId="32" fillId="2" borderId="23" xfId="0" applyFont="1" applyFill="1" applyBorder="1"/>
    <xf numFmtId="0" fontId="32" fillId="2" borderId="33" xfId="0" applyFont="1" applyFill="1" applyBorder="1"/>
    <xf numFmtId="6" fontId="32" fillId="2" borderId="22" xfId="0" applyNumberFormat="1" applyFont="1" applyFill="1" applyBorder="1"/>
    <xf numFmtId="1" fontId="32" fillId="2" borderId="22" xfId="0" applyNumberFormat="1" applyFont="1" applyFill="1" applyBorder="1"/>
    <xf numFmtId="0" fontId="56" fillId="2" borderId="31" xfId="0" applyFont="1" applyFill="1" applyBorder="1" applyAlignment="1">
      <alignment horizontal="center"/>
    </xf>
    <xf numFmtId="173" fontId="32" fillId="2" borderId="22" xfId="0" applyNumberFormat="1" applyFont="1" applyFill="1" applyBorder="1"/>
    <xf numFmtId="0" fontId="56" fillId="2" borderId="30" xfId="0" applyFont="1" applyFill="1" applyBorder="1" applyAlignment="1">
      <alignment horizontal="center"/>
    </xf>
    <xf numFmtId="175" fontId="32" fillId="2" borderId="22" xfId="8" applyNumberFormat="1" applyFont="1" applyFill="1" applyBorder="1"/>
    <xf numFmtId="175" fontId="32" fillId="2" borderId="24" xfId="8" applyNumberFormat="1" applyFont="1" applyFill="1" applyBorder="1"/>
    <xf numFmtId="175" fontId="32" fillId="2" borderId="31" xfId="8" applyNumberFormat="1" applyFont="1" applyFill="1" applyBorder="1"/>
    <xf numFmtId="175" fontId="32" fillId="2" borderId="30" xfId="8" applyNumberFormat="1" applyFont="1" applyFill="1" applyBorder="1"/>
    <xf numFmtId="1" fontId="32" fillId="2" borderId="24" xfId="0" applyNumberFormat="1" applyFont="1" applyFill="1" applyBorder="1"/>
    <xf numFmtId="0" fontId="0" fillId="11" borderId="53" xfId="0" applyFill="1" applyBorder="1" applyAlignment="1">
      <alignment horizontal="center" vertical="center"/>
    </xf>
    <xf numFmtId="173" fontId="56" fillId="2" borderId="0" xfId="0" applyNumberFormat="1" applyFont="1" applyFill="1" applyBorder="1"/>
    <xf numFmtId="173" fontId="56" fillId="2" borderId="24" xfId="0" applyNumberFormat="1" applyFont="1" applyFill="1" applyBorder="1"/>
    <xf numFmtId="173" fontId="56" fillId="2" borderId="22" xfId="0" applyNumberFormat="1" applyFont="1" applyFill="1" applyBorder="1"/>
    <xf numFmtId="1" fontId="24" fillId="0" borderId="0" xfId="0" applyNumberFormat="1" applyFont="1" applyFill="1"/>
    <xf numFmtId="1" fontId="75" fillId="0" borderId="0" xfId="0" applyNumberFormat="1" applyFont="1" applyFill="1"/>
    <xf numFmtId="0" fontId="2" fillId="2" borderId="0" xfId="0" applyFont="1" applyFill="1" applyAlignment="1">
      <alignment horizontal="left"/>
    </xf>
    <xf numFmtId="0" fontId="83" fillId="14" borderId="0" xfId="0" applyFont="1" applyFill="1" applyAlignment="1">
      <alignment horizontal="left" indent="3"/>
    </xf>
    <xf numFmtId="43" fontId="0" fillId="0" borderId="0" xfId="0" applyNumberFormat="1" applyAlignment="1">
      <alignment wrapText="1"/>
    </xf>
    <xf numFmtId="0" fontId="4" fillId="19" borderId="22" xfId="0" applyFont="1" applyFill="1" applyBorder="1" applyAlignment="1">
      <alignment horizontal="left" indent="1"/>
    </xf>
    <xf numFmtId="0" fontId="4" fillId="19" borderId="22" xfId="0" applyFont="1" applyFill="1" applyBorder="1" applyAlignment="1"/>
    <xf numFmtId="0" fontId="4" fillId="19" borderId="22" xfId="0" applyFont="1" applyFill="1" applyBorder="1"/>
    <xf numFmtId="0" fontId="0" fillId="19" borderId="22" xfId="0" applyFont="1" applyFill="1" applyBorder="1"/>
    <xf numFmtId="0" fontId="0" fillId="0" borderId="22" xfId="0" applyFont="1" applyBorder="1"/>
    <xf numFmtId="0" fontId="4" fillId="0" borderId="22" xfId="0" applyFont="1" applyBorder="1"/>
    <xf numFmtId="0" fontId="5" fillId="2" borderId="67" xfId="0" applyFont="1" applyFill="1" applyBorder="1"/>
    <xf numFmtId="0" fontId="32" fillId="2" borderId="34" xfId="0" applyFont="1" applyFill="1" applyBorder="1"/>
    <xf numFmtId="170" fontId="32" fillId="2" borderId="22" xfId="0" applyNumberFormat="1" applyFont="1" applyFill="1" applyBorder="1"/>
    <xf numFmtId="176" fontId="0" fillId="0" borderId="0" xfId="0" applyNumberFormat="1" applyFill="1" applyBorder="1" applyAlignment="1"/>
    <xf numFmtId="1" fontId="32" fillId="2" borderId="0" xfId="0" applyNumberFormat="1" applyFont="1" applyFill="1" applyAlignment="1">
      <alignment horizontal="center"/>
    </xf>
    <xf numFmtId="1" fontId="32" fillId="2" borderId="22" xfId="0" applyNumberFormat="1" applyFont="1" applyFill="1" applyBorder="1" applyAlignment="1">
      <alignment horizontal="center"/>
    </xf>
    <xf numFmtId="168" fontId="10" fillId="2" borderId="5" xfId="5" applyNumberFormat="1" applyFont="1" applyFill="1" applyBorder="1" applyAlignment="1" applyProtection="1">
      <alignment horizontal="right" vertical="center"/>
      <protection locked="0"/>
    </xf>
    <xf numFmtId="0" fontId="17" fillId="0" borderId="61" xfId="0" applyFont="1" applyBorder="1" applyAlignment="1">
      <alignment wrapText="1"/>
    </xf>
    <xf numFmtId="170" fontId="17" fillId="0" borderId="61" xfId="0" applyNumberFormat="1" applyFont="1" applyBorder="1" applyAlignment="1">
      <alignment horizontal="center" wrapText="1"/>
    </xf>
    <xf numFmtId="0" fontId="55" fillId="16" borderId="0" xfId="0" applyFont="1" applyFill="1" applyAlignment="1">
      <alignment horizontal="left" vertical="center"/>
    </xf>
    <xf numFmtId="0" fontId="2" fillId="0"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0" fillId="24" borderId="61" xfId="0" applyFont="1" applyFill="1" applyBorder="1" applyAlignment="1">
      <alignment horizontal="center" vertical="center" wrapText="1"/>
    </xf>
    <xf numFmtId="0" fontId="0" fillId="0" borderId="0" xfId="0" applyFill="1" applyBorder="1" applyAlignment="1"/>
    <xf numFmtId="0" fontId="0" fillId="0" borderId="0" xfId="0" applyFill="1" applyBorder="1" applyAlignment="1">
      <alignment horizontal="center"/>
    </xf>
    <xf numFmtId="0" fontId="22" fillId="5" borderId="0" xfId="0" applyFont="1" applyFill="1" applyBorder="1" applyAlignment="1">
      <alignment horizontal="left" vertical="center"/>
    </xf>
    <xf numFmtId="0" fontId="82" fillId="0" borderId="15" xfId="0" applyFont="1" applyBorder="1" applyAlignment="1">
      <alignment horizontal="center" vertical="center" wrapText="1"/>
    </xf>
    <xf numFmtId="0" fontId="82" fillId="0" borderId="61" xfId="0" applyFont="1" applyBorder="1" applyAlignment="1">
      <alignment horizontal="center" vertical="center" wrapText="1"/>
    </xf>
    <xf numFmtId="0" fontId="82" fillId="0" borderId="26"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33" xfId="0" applyFont="1" applyBorder="1" applyAlignment="1">
      <alignment horizontal="center" vertical="center" wrapText="1"/>
    </xf>
    <xf numFmtId="0" fontId="82" fillId="0" borderId="68" xfId="0" applyFont="1" applyBorder="1" applyAlignment="1">
      <alignment horizontal="center" vertical="center" wrapText="1"/>
    </xf>
    <xf numFmtId="0" fontId="82" fillId="0" borderId="63" xfId="0" applyFont="1" applyBorder="1" applyAlignment="1">
      <alignment horizontal="center" vertical="center" wrapText="1"/>
    </xf>
    <xf numFmtId="0" fontId="82" fillId="0" borderId="71" xfId="0" applyFont="1" applyBorder="1" applyAlignment="1">
      <alignment horizontal="center" vertical="center" wrapText="1"/>
    </xf>
    <xf numFmtId="0" fontId="53" fillId="0" borderId="0" xfId="0" applyFont="1" applyAlignment="1">
      <alignment vertical="center" wrapText="1"/>
    </xf>
    <xf numFmtId="0" fontId="53" fillId="0" borderId="0" xfId="0" applyFont="1" applyAlignment="1">
      <alignment vertical="top" wrapText="1"/>
    </xf>
    <xf numFmtId="0" fontId="2" fillId="0" borderId="0" xfId="0" applyFont="1" applyFill="1" applyBorder="1" applyAlignment="1">
      <alignment horizontal="center" vertical="center" wrapText="1"/>
    </xf>
    <xf numFmtId="0" fontId="1" fillId="6" borderId="61" xfId="9" applyBorder="1" applyAlignment="1">
      <alignment horizontal="center" wrapText="1"/>
    </xf>
    <xf numFmtId="0" fontId="0" fillId="11" borderId="66" xfId="0" applyFont="1" applyFill="1" applyBorder="1" applyAlignment="1">
      <alignment horizontal="left" vertical="top" wrapText="1"/>
    </xf>
    <xf numFmtId="0" fontId="0" fillId="11" borderId="2" xfId="0" applyFont="1" applyFill="1" applyBorder="1" applyAlignment="1">
      <alignment horizontal="left" vertical="top" wrapText="1"/>
    </xf>
    <xf numFmtId="0" fontId="0" fillId="11" borderId="3" xfId="0" applyFont="1" applyFill="1" applyBorder="1" applyAlignment="1">
      <alignment horizontal="left" vertical="top" wrapText="1"/>
    </xf>
    <xf numFmtId="0" fontId="0" fillId="11" borderId="4" xfId="0" applyFont="1" applyFill="1" applyBorder="1" applyAlignment="1">
      <alignment horizontal="left" vertical="top" wrapText="1"/>
    </xf>
    <xf numFmtId="0" fontId="0" fillId="11" borderId="0" xfId="0" applyFont="1" applyFill="1" applyBorder="1" applyAlignment="1">
      <alignment horizontal="left" vertical="top" wrapText="1"/>
    </xf>
    <xf numFmtId="0" fontId="0" fillId="11" borderId="19" xfId="0" applyFont="1" applyFill="1" applyBorder="1" applyAlignment="1">
      <alignment horizontal="left" vertical="top" wrapText="1"/>
    </xf>
    <xf numFmtId="0" fontId="0" fillId="11" borderId="5" xfId="0" applyFont="1" applyFill="1" applyBorder="1" applyAlignment="1">
      <alignment horizontal="left" vertical="top" wrapText="1"/>
    </xf>
    <xf numFmtId="0" fontId="0" fillId="11" borderId="37" xfId="0" applyFont="1" applyFill="1" applyBorder="1" applyAlignment="1">
      <alignment horizontal="left" vertical="top" wrapText="1"/>
    </xf>
    <xf numFmtId="0" fontId="0" fillId="11" borderId="6" xfId="0" applyFont="1" applyFill="1" applyBorder="1" applyAlignment="1">
      <alignment horizontal="left" vertical="top" wrapText="1"/>
    </xf>
    <xf numFmtId="14" fontId="2" fillId="9" borderId="12" xfId="0" applyNumberFormat="1" applyFont="1" applyFill="1" applyBorder="1" applyAlignment="1">
      <alignment horizontal="center" vertical="center" wrapText="1"/>
    </xf>
    <xf numFmtId="0" fontId="1" fillId="18" borderId="62" xfId="63" applyFill="1" applyBorder="1" applyAlignment="1">
      <alignment horizontal="center" vertical="center" wrapText="1"/>
    </xf>
    <xf numFmtId="0" fontId="1" fillId="18" borderId="61" xfId="63" applyFill="1" applyBorder="1" applyAlignment="1">
      <alignment horizontal="center" vertical="center" wrapText="1"/>
    </xf>
    <xf numFmtId="0" fontId="1" fillId="18" borderId="63" xfId="63" applyFill="1" applyBorder="1" applyAlignment="1">
      <alignment horizontal="center" vertical="center" wrapText="1"/>
    </xf>
    <xf numFmtId="0" fontId="4" fillId="19" borderId="33" xfId="62" applyFont="1" applyFill="1" applyBorder="1" applyAlignment="1">
      <alignment horizontal="center" vertical="center"/>
    </xf>
    <xf numFmtId="0" fontId="4" fillId="19" borderId="22" xfId="62" applyFont="1" applyFill="1" applyBorder="1" applyAlignment="1">
      <alignment horizontal="center" vertical="center"/>
    </xf>
    <xf numFmtId="0" fontId="4" fillId="19" borderId="30" xfId="62" applyFont="1" applyFill="1" applyBorder="1" applyAlignment="1">
      <alignment horizontal="center" vertical="center"/>
    </xf>
    <xf numFmtId="0" fontId="4" fillId="2" borderId="2" xfId="0" quotePrefix="1" applyFont="1" applyFill="1" applyBorder="1" applyAlignment="1">
      <alignment horizontal="left" vertical="top" wrapText="1"/>
    </xf>
    <xf numFmtId="49" fontId="1" fillId="6" borderId="10" xfId="9" applyNumberFormat="1" applyBorder="1" applyAlignment="1">
      <alignment horizontal="center" vertical="center"/>
    </xf>
    <xf numFmtId="14" fontId="2" fillId="9" borderId="5" xfId="0" applyNumberFormat="1" applyFont="1" applyFill="1" applyBorder="1" applyAlignment="1">
      <alignment horizontal="center" vertical="center" wrapText="1"/>
    </xf>
    <xf numFmtId="14" fontId="2" fillId="9" borderId="37" xfId="0" applyNumberFormat="1" applyFont="1" applyFill="1" applyBorder="1" applyAlignment="1">
      <alignment horizontal="center" vertical="center" wrapText="1"/>
    </xf>
    <xf numFmtId="0" fontId="0" fillId="0" borderId="61" xfId="0" applyFill="1" applyBorder="1" applyAlignment="1">
      <alignment horizontal="center"/>
    </xf>
    <xf numFmtId="0" fontId="1" fillId="11" borderId="61" xfId="9" applyFill="1" applyBorder="1" applyAlignment="1">
      <alignment horizontal="center" wrapText="1"/>
    </xf>
    <xf numFmtId="14" fontId="0" fillId="6" borderId="61" xfId="0" applyNumberFormat="1" applyFill="1" applyBorder="1" applyAlignment="1">
      <alignment horizontal="center"/>
    </xf>
    <xf numFmtId="0" fontId="2" fillId="2" borderId="0" xfId="0" applyFont="1" applyFill="1" applyBorder="1" applyAlignment="1">
      <alignment horizontal="center" vertical="center" wrapText="1"/>
    </xf>
    <xf numFmtId="1" fontId="0" fillId="0" borderId="61" xfId="7" applyNumberFormat="1" applyFont="1" applyFill="1" applyBorder="1" applyAlignment="1">
      <alignment horizontal="center" vertical="center"/>
    </xf>
    <xf numFmtId="0" fontId="1" fillId="6" borderId="1" xfId="9" applyAlignment="1">
      <alignment horizontal="left" vertical="center"/>
    </xf>
    <xf numFmtId="0" fontId="0" fillId="6" borderId="1" xfId="9" applyFont="1" applyAlignment="1">
      <alignment vertical="center"/>
    </xf>
    <xf numFmtId="0" fontId="0" fillId="6" borderId="61" xfId="9" applyFont="1" applyBorder="1" applyAlignment="1">
      <alignment vertical="center"/>
    </xf>
    <xf numFmtId="0" fontId="1" fillId="6" borderId="26" xfId="9" applyBorder="1" applyAlignment="1">
      <alignment horizontal="center" vertical="center"/>
    </xf>
    <xf numFmtId="0" fontId="1" fillId="6" borderId="24" xfId="9" applyBorder="1" applyAlignment="1">
      <alignment horizontal="center" vertical="center"/>
    </xf>
    <xf numFmtId="0" fontId="1" fillId="6" borderId="34" xfId="9" applyBorder="1" applyAlignment="1">
      <alignment horizontal="center" vertical="center"/>
    </xf>
    <xf numFmtId="0" fontId="0" fillId="24" borderId="62" xfId="0" applyFont="1" applyFill="1" applyBorder="1" applyAlignment="1">
      <alignment horizontal="center" vertical="center" wrapText="1"/>
    </xf>
    <xf numFmtId="0" fontId="0" fillId="24" borderId="61" xfId="0" applyFont="1" applyFill="1" applyBorder="1" applyAlignment="1">
      <alignment horizontal="center" vertical="center" wrapText="1"/>
    </xf>
    <xf numFmtId="0" fontId="0" fillId="24" borderId="63" xfId="0"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61" xfId="0" applyFont="1" applyFill="1" applyBorder="1" applyAlignment="1">
      <alignment horizontal="center" vertical="center" wrapText="1"/>
    </xf>
    <xf numFmtId="0" fontId="0" fillId="2" borderId="63" xfId="0" applyFont="1" applyFill="1" applyBorder="1" applyAlignment="1">
      <alignment horizontal="center" vertical="center" wrapText="1"/>
    </xf>
    <xf numFmtId="0" fontId="0" fillId="0" borderId="0" xfId="0" applyAlignment="1">
      <alignment horizontal="left" vertical="top" wrapText="1"/>
    </xf>
    <xf numFmtId="0" fontId="2" fillId="2" borderId="10" xfId="0" applyFont="1" applyFill="1" applyBorder="1" applyAlignment="1">
      <alignment horizontal="center" vertical="center"/>
    </xf>
    <xf numFmtId="0" fontId="1" fillId="6" borderId="10" xfId="9" applyBorder="1" applyAlignment="1">
      <alignment horizontal="center" vertical="center"/>
    </xf>
    <xf numFmtId="0" fontId="0" fillId="19" borderId="12" xfId="0" applyFill="1" applyBorder="1" applyAlignment="1">
      <alignment horizontal="center" vertical="top" wrapText="1"/>
    </xf>
    <xf numFmtId="0" fontId="0" fillId="19" borderId="51" xfId="0" applyFill="1" applyBorder="1" applyAlignment="1">
      <alignment horizontal="center" vertical="top" wrapText="1"/>
    </xf>
    <xf numFmtId="0" fontId="53" fillId="14" borderId="59" xfId="0" applyFont="1" applyFill="1" applyBorder="1" applyAlignment="1">
      <alignment horizontal="center" vertical="center" wrapText="1"/>
    </xf>
    <xf numFmtId="0" fontId="55" fillId="16" borderId="0" xfId="0" applyFont="1" applyFill="1" applyAlignment="1">
      <alignment horizontal="left" vertical="center"/>
    </xf>
    <xf numFmtId="0" fontId="2" fillId="19" borderId="66" xfId="0" applyFont="1" applyFill="1" applyBorder="1" applyAlignment="1">
      <alignment horizontal="left" vertical="top" wrapText="1"/>
    </xf>
    <xf numFmtId="0" fontId="2" fillId="19" borderId="2" xfId="0" applyFont="1" applyFill="1" applyBorder="1" applyAlignment="1">
      <alignment horizontal="left" vertical="top" wrapText="1"/>
    </xf>
    <xf numFmtId="0" fontId="2" fillId="19" borderId="3" xfId="0" applyFont="1" applyFill="1" applyBorder="1" applyAlignment="1">
      <alignment horizontal="left" vertical="top" wrapText="1"/>
    </xf>
    <xf numFmtId="0" fontId="2" fillId="19" borderId="5" xfId="0" applyFont="1" applyFill="1" applyBorder="1" applyAlignment="1">
      <alignment horizontal="left" vertical="top" wrapText="1"/>
    </xf>
    <xf numFmtId="0" fontId="2" fillId="19" borderId="37" xfId="0" applyFont="1" applyFill="1" applyBorder="1" applyAlignment="1">
      <alignment horizontal="left" vertical="top" wrapText="1"/>
    </xf>
    <xf numFmtId="0" fontId="2" fillId="19" borderId="6" xfId="0" applyFont="1" applyFill="1" applyBorder="1" applyAlignment="1">
      <alignment horizontal="left" vertical="top" wrapText="1"/>
    </xf>
    <xf numFmtId="0" fontId="4" fillId="19" borderId="64" xfId="62" applyFont="1" applyFill="1" applyBorder="1" applyAlignment="1">
      <alignment horizontal="center" vertical="center" wrapText="1"/>
    </xf>
    <xf numFmtId="0" fontId="4" fillId="19" borderId="2" xfId="62" applyFont="1" applyFill="1" applyBorder="1" applyAlignment="1">
      <alignment horizontal="center" vertical="center" wrapText="1"/>
    </xf>
    <xf numFmtId="0" fontId="4" fillId="19" borderId="65" xfId="62" applyFont="1" applyFill="1" applyBorder="1" applyAlignment="1">
      <alignment horizontal="center" vertical="center" wrapText="1"/>
    </xf>
    <xf numFmtId="0" fontId="4" fillId="19" borderId="23" xfId="62" applyFont="1" applyFill="1" applyBorder="1" applyAlignment="1">
      <alignment horizontal="center" vertical="center" wrapText="1"/>
    </xf>
    <xf numFmtId="0" fontId="4" fillId="19" borderId="0" xfId="62" applyFont="1" applyFill="1" applyBorder="1" applyAlignment="1">
      <alignment horizontal="center" vertical="center" wrapText="1"/>
    </xf>
    <xf numFmtId="0" fontId="4" fillId="19" borderId="31" xfId="62" applyFont="1" applyFill="1" applyBorder="1" applyAlignment="1">
      <alignment horizontal="center" vertical="center" wrapText="1"/>
    </xf>
    <xf numFmtId="0" fontId="4" fillId="19" borderId="33" xfId="62" applyFont="1" applyFill="1" applyBorder="1" applyAlignment="1">
      <alignment horizontal="center" vertical="center" wrapText="1"/>
    </xf>
    <xf numFmtId="0" fontId="4" fillId="19" borderId="22" xfId="62" applyFont="1" applyFill="1" applyBorder="1" applyAlignment="1">
      <alignment horizontal="center" vertical="center" wrapText="1"/>
    </xf>
    <xf numFmtId="0" fontId="4" fillId="19" borderId="30" xfId="62" applyFont="1" applyFill="1" applyBorder="1" applyAlignment="1">
      <alignment horizontal="center" vertical="center" wrapText="1"/>
    </xf>
    <xf numFmtId="0" fontId="22" fillId="5" borderId="0" xfId="0" applyFont="1" applyFill="1" applyBorder="1" applyAlignment="1">
      <alignment horizontal="center" vertical="center"/>
    </xf>
    <xf numFmtId="164" fontId="16" fillId="4" borderId="17" xfId="3" applyNumberFormat="1" applyFont="1" applyFill="1" applyBorder="1" applyAlignment="1" applyProtection="1">
      <alignment horizontal="center" vertical="center"/>
      <protection locked="0"/>
    </xf>
    <xf numFmtId="164" fontId="16" fillId="4" borderId="25" xfId="3" applyNumberFormat="1" applyFont="1" applyFill="1" applyBorder="1" applyAlignment="1" applyProtection="1">
      <alignment horizontal="center" vertical="center"/>
      <protection locked="0"/>
    </xf>
    <xf numFmtId="164" fontId="16" fillId="4" borderId="28" xfId="3" applyNumberFormat="1" applyFont="1" applyFill="1" applyBorder="1" applyAlignment="1" applyProtection="1">
      <alignment horizontal="center" vertical="center"/>
      <protection locked="0"/>
    </xf>
    <xf numFmtId="0" fontId="0" fillId="0" borderId="0" xfId="0" applyFill="1" applyBorder="1" applyAlignment="1">
      <alignment horizontal="center"/>
    </xf>
    <xf numFmtId="0" fontId="4" fillId="19" borderId="26" xfId="3" applyFont="1" applyFill="1" applyBorder="1" applyAlignment="1" applyProtection="1">
      <alignment horizontal="center" vertical="top" wrapText="1"/>
      <protection locked="0"/>
    </xf>
    <xf numFmtId="0" fontId="5" fillId="19" borderId="24" xfId="3" applyFont="1" applyFill="1" applyBorder="1" applyAlignment="1" applyProtection="1">
      <alignment horizontal="center" vertical="top" wrapText="1"/>
      <protection locked="0"/>
    </xf>
    <xf numFmtId="0" fontId="5" fillId="19" borderId="34" xfId="3" applyFont="1" applyFill="1" applyBorder="1" applyAlignment="1" applyProtection="1">
      <alignment horizontal="center" vertical="top" wrapText="1"/>
      <protection locked="0"/>
    </xf>
    <xf numFmtId="0" fontId="4" fillId="19" borderId="23" xfId="3" applyFont="1" applyFill="1" applyBorder="1" applyAlignment="1" applyProtection="1">
      <alignment horizontal="center" vertical="top" wrapText="1"/>
      <protection locked="0"/>
    </xf>
    <xf numFmtId="0" fontId="5" fillId="19" borderId="0" xfId="3" applyFont="1" applyFill="1" applyBorder="1" applyAlignment="1" applyProtection="1">
      <alignment horizontal="center" vertical="top" wrapText="1"/>
      <protection locked="0"/>
    </xf>
    <xf numFmtId="0" fontId="5" fillId="19" borderId="31" xfId="3" applyFont="1" applyFill="1" applyBorder="1" applyAlignment="1" applyProtection="1">
      <alignment horizontal="center" vertical="top" wrapText="1"/>
      <protection locked="0"/>
    </xf>
    <xf numFmtId="0" fontId="5" fillId="19" borderId="33" xfId="3" applyFont="1" applyFill="1" applyBorder="1" applyAlignment="1" applyProtection="1">
      <alignment horizontal="center" vertical="top" wrapText="1"/>
      <protection locked="0"/>
    </xf>
    <xf numFmtId="0" fontId="5" fillId="19" borderId="22" xfId="3" applyFont="1" applyFill="1" applyBorder="1" applyAlignment="1" applyProtection="1">
      <alignment horizontal="center" vertical="top" wrapText="1"/>
      <protection locked="0"/>
    </xf>
    <xf numFmtId="0" fontId="5" fillId="19" borderId="30" xfId="3" applyFont="1" applyFill="1" applyBorder="1" applyAlignment="1" applyProtection="1">
      <alignment horizontal="center" vertical="top" wrapText="1"/>
      <protection locked="0"/>
    </xf>
    <xf numFmtId="0" fontId="10" fillId="19" borderId="12" xfId="3" applyFont="1" applyFill="1" applyBorder="1" applyAlignment="1" applyProtection="1">
      <alignment horizontal="center"/>
      <protection locked="0"/>
    </xf>
    <xf numFmtId="0" fontId="10" fillId="19" borderId="20" xfId="3" applyFont="1" applyFill="1" applyBorder="1" applyAlignment="1" applyProtection="1">
      <alignment horizontal="center"/>
      <protection locked="0"/>
    </xf>
    <xf numFmtId="0" fontId="10" fillId="19" borderId="21" xfId="3" applyFont="1" applyFill="1" applyBorder="1" applyAlignment="1" applyProtection="1">
      <alignment horizontal="center"/>
      <protection locked="0"/>
    </xf>
    <xf numFmtId="3" fontId="0" fillId="0" borderId="0" xfId="6" applyNumberFormat="1" applyFont="1" applyFill="1" applyBorder="1" applyAlignment="1"/>
    <xf numFmtId="0" fontId="0" fillId="0" borderId="0" xfId="0" applyFill="1" applyBorder="1" applyAlignment="1"/>
    <xf numFmtId="0" fontId="5" fillId="3" borderId="40" xfId="3" applyFont="1" applyFill="1" applyBorder="1" applyAlignment="1" applyProtection="1">
      <alignment horizontal="center" wrapText="1"/>
      <protection locked="0"/>
    </xf>
    <xf numFmtId="0" fontId="5" fillId="3" borderId="49" xfId="3" applyFont="1" applyFill="1" applyBorder="1" applyAlignment="1" applyProtection="1">
      <alignment horizontal="center" wrapText="1"/>
      <protection locked="0"/>
    </xf>
    <xf numFmtId="0" fontId="5" fillId="3" borderId="27" xfId="3" applyFont="1" applyFill="1" applyBorder="1" applyAlignment="1" applyProtection="1">
      <alignment horizontal="center" wrapText="1"/>
      <protection locked="0"/>
    </xf>
    <xf numFmtId="0" fontId="5" fillId="3" borderId="41" xfId="3" applyFont="1" applyFill="1" applyBorder="1" applyAlignment="1" applyProtection="1">
      <alignment horizontal="center" wrapText="1"/>
      <protection locked="0"/>
    </xf>
    <xf numFmtId="0" fontId="5" fillId="19" borderId="23" xfId="3" applyFont="1" applyFill="1" applyBorder="1" applyAlignment="1" applyProtection="1">
      <alignment horizontal="center" vertical="top" wrapText="1"/>
      <protection locked="0"/>
    </xf>
    <xf numFmtId="173" fontId="40" fillId="0" borderId="0" xfId="0" applyNumberFormat="1" applyFont="1" applyFill="1" applyBorder="1" applyAlignment="1"/>
    <xf numFmtId="0" fontId="16" fillId="4" borderId="32" xfId="3" applyFont="1" applyFill="1" applyBorder="1" applyAlignment="1" applyProtection="1">
      <alignment horizontal="center" vertical="center" wrapText="1"/>
      <protection locked="0"/>
    </xf>
    <xf numFmtId="0" fontId="16" fillId="4" borderId="29" xfId="3" applyFont="1" applyFill="1" applyBorder="1" applyAlignment="1" applyProtection="1">
      <alignment horizontal="center" vertical="center" wrapText="1"/>
      <protection locked="0"/>
    </xf>
    <xf numFmtId="42" fontId="16" fillId="4" borderId="17" xfId="3" applyNumberFormat="1" applyFont="1" applyFill="1" applyBorder="1" applyAlignment="1" applyProtection="1">
      <alignment horizontal="center" vertical="center"/>
      <protection locked="0"/>
    </xf>
    <xf numFmtId="42" fontId="16" fillId="4" borderId="25" xfId="3" applyNumberFormat="1" applyFont="1" applyFill="1" applyBorder="1" applyAlignment="1" applyProtection="1">
      <alignment horizontal="center" vertical="center"/>
      <protection locked="0"/>
    </xf>
    <xf numFmtId="42" fontId="16" fillId="4" borderId="28" xfId="3" applyNumberFormat="1" applyFont="1" applyFill="1" applyBorder="1" applyAlignment="1" applyProtection="1">
      <alignment horizontal="center" vertical="center"/>
      <protection locked="0"/>
    </xf>
    <xf numFmtId="0" fontId="5" fillId="0" borderId="16" xfId="3" applyFont="1" applyBorder="1" applyAlignment="1" applyProtection="1">
      <alignment horizontal="center" vertical="center" wrapText="1"/>
      <protection locked="0"/>
    </xf>
    <xf numFmtId="0" fontId="5" fillId="0" borderId="15" xfId="3" applyFont="1" applyBorder="1" applyAlignment="1" applyProtection="1">
      <alignment horizontal="center" vertical="center" wrapText="1"/>
      <protection locked="0"/>
    </xf>
    <xf numFmtId="0" fontId="40" fillId="0" borderId="0" xfId="0" applyFont="1" applyFill="1" applyBorder="1" applyAlignment="1"/>
    <xf numFmtId="0" fontId="2" fillId="3" borderId="12" xfId="0" applyFont="1" applyFill="1" applyBorder="1" applyAlignment="1">
      <alignment horizontal="center"/>
    </xf>
    <xf numFmtId="0" fontId="2" fillId="3" borderId="20" xfId="0" applyFont="1" applyFill="1" applyBorder="1" applyAlignment="1">
      <alignment horizontal="center"/>
    </xf>
    <xf numFmtId="0" fontId="2" fillId="3" borderId="21" xfId="0" applyFont="1" applyFill="1" applyBorder="1" applyAlignment="1">
      <alignment horizontal="center"/>
    </xf>
    <xf numFmtId="0" fontId="2" fillId="2" borderId="12" xfId="0" applyFont="1" applyFill="1" applyBorder="1" applyAlignment="1">
      <alignment horizontal="center"/>
    </xf>
    <xf numFmtId="0" fontId="0" fillId="2" borderId="20" xfId="0" applyFill="1" applyBorder="1" applyAlignment="1">
      <alignment horizontal="center"/>
    </xf>
    <xf numFmtId="0" fontId="0" fillId="2" borderId="21" xfId="0" applyFill="1" applyBorder="1" applyAlignment="1">
      <alignment horizontal="center"/>
    </xf>
    <xf numFmtId="0" fontId="22" fillId="20" borderId="0" xfId="0" applyFont="1" applyFill="1" applyAlignment="1">
      <alignment horizontal="left" vertical="top" wrapText="1"/>
    </xf>
    <xf numFmtId="49" fontId="5" fillId="0" borderId="52" xfId="0" applyNumberFormat="1" applyFont="1" applyFill="1" applyBorder="1" applyAlignment="1">
      <alignment horizontal="left" vertical="center"/>
    </xf>
    <xf numFmtId="49" fontId="5" fillId="0" borderId="21" xfId="0" applyNumberFormat="1" applyFont="1" applyFill="1" applyBorder="1" applyAlignment="1">
      <alignment horizontal="left" vertical="center"/>
    </xf>
    <xf numFmtId="0" fontId="10" fillId="19" borderId="26" xfId="3" applyFont="1" applyFill="1" applyBorder="1" applyAlignment="1" applyProtection="1">
      <alignment horizontal="center" wrapText="1"/>
      <protection locked="0"/>
    </xf>
    <xf numFmtId="0" fontId="10" fillId="19" borderId="24" xfId="3" applyFont="1" applyFill="1" applyBorder="1" applyAlignment="1" applyProtection="1">
      <alignment horizontal="center" wrapText="1"/>
      <protection locked="0"/>
    </xf>
    <xf numFmtId="0" fontId="10" fillId="19" borderId="34" xfId="3" applyFont="1" applyFill="1" applyBorder="1" applyAlignment="1" applyProtection="1">
      <alignment horizontal="center" wrapText="1"/>
      <protection locked="0"/>
    </xf>
    <xf numFmtId="0" fontId="10" fillId="19" borderId="23" xfId="3" applyFont="1" applyFill="1" applyBorder="1" applyAlignment="1" applyProtection="1">
      <alignment horizontal="center" wrapText="1"/>
      <protection locked="0"/>
    </xf>
    <xf numFmtId="0" fontId="10" fillId="19" borderId="0" xfId="3" applyFont="1" applyFill="1" applyBorder="1" applyAlignment="1" applyProtection="1">
      <alignment horizontal="center" wrapText="1"/>
      <protection locked="0"/>
    </xf>
    <xf numFmtId="0" fontId="10" fillId="19" borderId="31" xfId="3" applyFont="1" applyFill="1" applyBorder="1" applyAlignment="1" applyProtection="1">
      <alignment horizontal="center" wrapText="1"/>
      <protection locked="0"/>
    </xf>
    <xf numFmtId="0" fontId="10" fillId="19" borderId="33" xfId="3" applyFont="1" applyFill="1" applyBorder="1" applyAlignment="1" applyProtection="1">
      <alignment horizontal="center" wrapText="1"/>
      <protection locked="0"/>
    </xf>
    <xf numFmtId="0" fontId="10" fillId="19" borderId="22" xfId="3" applyFont="1" applyFill="1" applyBorder="1" applyAlignment="1" applyProtection="1">
      <alignment horizontal="center" wrapText="1"/>
      <protection locked="0"/>
    </xf>
    <xf numFmtId="0" fontId="10" fillId="19" borderId="30" xfId="3" applyFont="1" applyFill="1" applyBorder="1" applyAlignment="1" applyProtection="1">
      <alignment horizontal="center" wrapText="1"/>
      <protection locked="0"/>
    </xf>
    <xf numFmtId="0" fontId="22" fillId="5" borderId="0" xfId="0" applyFont="1" applyFill="1" applyBorder="1" applyAlignment="1">
      <alignment horizontal="left" vertical="center"/>
    </xf>
    <xf numFmtId="0" fontId="0" fillId="0" borderId="0" xfId="0" applyAlignment="1">
      <alignment horizontal="center"/>
    </xf>
    <xf numFmtId="0" fontId="0" fillId="2" borderId="74" xfId="0" applyFill="1" applyBorder="1" applyAlignment="1">
      <alignment horizontal="centerContinuous" vertical="top" wrapText="1"/>
    </xf>
    <xf numFmtId="0" fontId="0" fillId="18" borderId="74" xfId="63" applyFont="1" applyFill="1" applyBorder="1" applyAlignment="1">
      <alignment horizontal="centerContinuous" vertical="top" wrapText="1"/>
    </xf>
    <xf numFmtId="0" fontId="5" fillId="2" borderId="61" xfId="0" applyFont="1" applyFill="1" applyBorder="1" applyAlignment="1">
      <alignment horizontal="left" vertical="center"/>
    </xf>
    <xf numFmtId="0" fontId="2" fillId="0" borderId="61" xfId="0" applyFont="1" applyBorder="1" applyAlignment="1">
      <alignment horizontal="center"/>
    </xf>
    <xf numFmtId="0" fontId="2" fillId="2" borderId="61" xfId="0" applyFont="1" applyFill="1" applyBorder="1" applyAlignment="1">
      <alignment horizontal="center" vertical="center"/>
    </xf>
    <xf numFmtId="0" fontId="1" fillId="6" borderId="61" xfId="9" applyBorder="1" applyAlignment="1">
      <alignment horizontal="left" vertical="center"/>
    </xf>
    <xf numFmtId="168" fontId="1" fillId="6" borderId="61" xfId="9" applyNumberFormat="1" applyBorder="1" applyAlignment="1"/>
    <xf numFmtId="9" fontId="1" fillId="2" borderId="61" xfId="9" applyNumberFormat="1" applyFill="1" applyBorder="1" applyAlignment="1">
      <alignment horizontal="center" vertical="center"/>
    </xf>
    <xf numFmtId="0" fontId="2" fillId="11" borderId="61" xfId="9" applyFont="1" applyFill="1" applyBorder="1" applyAlignment="1">
      <alignment horizontal="right" vertical="center"/>
    </xf>
    <xf numFmtId="168" fontId="0" fillId="2" borderId="61" xfId="0" applyNumberFormat="1" applyFont="1" applyFill="1" applyBorder="1" applyAlignment="1">
      <alignment horizontal="center" vertical="top" wrapText="1"/>
    </xf>
    <xf numFmtId="0" fontId="2" fillId="2" borderId="59" xfId="0" applyFont="1" applyFill="1" applyBorder="1" applyAlignment="1">
      <alignment horizontal="center" vertical="center"/>
    </xf>
    <xf numFmtId="168" fontId="52" fillId="6" borderId="61" xfId="9" applyNumberFormat="1" applyFont="1" applyBorder="1" applyAlignment="1"/>
    <xf numFmtId="44" fontId="52" fillId="6" borderId="61" xfId="1" applyFont="1" applyFill="1" applyBorder="1" applyAlignment="1"/>
    <xf numFmtId="177" fontId="52" fillId="6" borderId="61" xfId="9" applyNumberFormat="1" applyFont="1" applyBorder="1" applyAlignment="1">
      <alignment vertical="center"/>
    </xf>
    <xf numFmtId="167" fontId="1" fillId="18" borderId="61" xfId="1" applyNumberFormat="1" applyFill="1" applyBorder="1" applyAlignment="1">
      <alignment horizontal="center" vertical="center"/>
    </xf>
    <xf numFmtId="175" fontId="1" fillId="17" borderId="61" xfId="63" applyNumberFormat="1" applyBorder="1" applyAlignment="1">
      <alignment vertical="center"/>
    </xf>
    <xf numFmtId="175" fontId="1" fillId="17" borderId="61" xfId="1" applyNumberFormat="1" applyFill="1" applyBorder="1" applyAlignment="1">
      <alignment vertical="center"/>
    </xf>
    <xf numFmtId="44" fontId="0" fillId="17" borderId="7" xfId="1" applyFont="1" applyFill="1" applyBorder="1" applyAlignment="1">
      <alignment vertical="center"/>
    </xf>
    <xf numFmtId="0" fontId="0" fillId="18" borderId="61" xfId="0" applyFill="1" applyBorder="1" applyAlignment="1">
      <alignment wrapText="1"/>
    </xf>
    <xf numFmtId="183" fontId="0" fillId="11" borderId="61" xfId="0" applyNumberFormat="1" applyFill="1" applyBorder="1" applyAlignment="1">
      <alignment wrapText="1"/>
    </xf>
    <xf numFmtId="0" fontId="0" fillId="11" borderId="61" xfId="0" applyFill="1" applyBorder="1" applyAlignment="1">
      <alignment wrapText="1"/>
    </xf>
    <xf numFmtId="170" fontId="0" fillId="18" borderId="61" xfId="0" applyNumberFormat="1" applyFill="1" applyBorder="1" applyAlignment="1">
      <alignment wrapText="1"/>
    </xf>
    <xf numFmtId="181" fontId="0" fillId="18" borderId="61" xfId="0" applyNumberFormat="1" applyFill="1" applyBorder="1" applyAlignment="1">
      <alignment wrapText="1"/>
    </xf>
    <xf numFmtId="1" fontId="4" fillId="0" borderId="61" xfId="0" applyNumberFormat="1" applyFont="1" applyFill="1" applyBorder="1" applyAlignment="1">
      <alignment wrapText="1"/>
    </xf>
    <xf numFmtId="1" fontId="0" fillId="0" borderId="61" xfId="0" applyNumberFormat="1" applyFill="1" applyBorder="1" applyAlignment="1">
      <alignment wrapText="1"/>
    </xf>
    <xf numFmtId="170" fontId="4" fillId="6" borderId="61" xfId="0" applyNumberFormat="1" applyFont="1" applyFill="1" applyBorder="1" applyAlignment="1">
      <alignment wrapText="1"/>
    </xf>
    <xf numFmtId="175" fontId="4" fillId="6" borderId="61" xfId="8" applyNumberFormat="1" applyFont="1" applyFill="1" applyBorder="1" applyAlignment="1">
      <alignment wrapText="1"/>
    </xf>
    <xf numFmtId="0" fontId="0" fillId="2" borderId="59" xfId="0" applyFill="1" applyBorder="1" applyAlignment="1">
      <alignment horizontal="left"/>
    </xf>
    <xf numFmtId="0" fontId="0" fillId="2" borderId="59" xfId="0" applyFont="1" applyFill="1" applyBorder="1" applyAlignment="1">
      <alignment horizontal="left" vertical="top"/>
    </xf>
    <xf numFmtId="0" fontId="2" fillId="2" borderId="61" xfId="0" applyFont="1" applyFill="1" applyBorder="1" applyAlignment="1">
      <alignment horizontal="center" vertical="center" wrapText="1"/>
    </xf>
    <xf numFmtId="0" fontId="2" fillId="2" borderId="60" xfId="0" applyFont="1" applyFill="1" applyBorder="1" applyAlignment="1">
      <alignment horizontal="center" vertical="center" wrapText="1"/>
    </xf>
    <xf numFmtId="3" fontId="0" fillId="0" borderId="55" xfId="0" applyNumberFormat="1" applyFont="1" applyFill="1" applyBorder="1" applyAlignment="1">
      <alignment horizontal="center" vertical="center" wrapText="1"/>
    </xf>
    <xf numFmtId="3" fontId="33" fillId="6" borderId="58" xfId="21" applyNumberFormat="1" applyFill="1" applyBorder="1" applyAlignment="1">
      <alignment horizontal="center" vertical="center" wrapText="1"/>
    </xf>
    <xf numFmtId="167" fontId="1" fillId="6" borderId="55" xfId="7" applyNumberFormat="1" applyFont="1" applyFill="1" applyBorder="1" applyAlignment="1">
      <alignment horizontal="center" vertical="center" wrapText="1"/>
    </xf>
    <xf numFmtId="9" fontId="0" fillId="0" borderId="55" xfId="8" applyFont="1" applyFill="1" applyBorder="1" applyAlignment="1">
      <alignment horizontal="center" vertical="center" wrapText="1"/>
    </xf>
    <xf numFmtId="0" fontId="2" fillId="2" borderId="57" xfId="0" applyFont="1" applyFill="1" applyBorder="1" applyAlignment="1">
      <alignment horizontal="right" vertical="center" wrapText="1"/>
    </xf>
    <xf numFmtId="168" fontId="0" fillId="0" borderId="55" xfId="7" applyNumberFormat="1" applyFont="1" applyFill="1" applyBorder="1" applyAlignment="1">
      <alignment horizontal="center" vertical="center" wrapText="1"/>
    </xf>
    <xf numFmtId="167" fontId="4" fillId="0" borderId="43" xfId="1" applyNumberFormat="1" applyFont="1" applyFill="1" applyBorder="1" applyAlignment="1">
      <alignment horizontal="center" vertical="center" wrapText="1"/>
    </xf>
    <xf numFmtId="9" fontId="10" fillId="2" borderId="55" xfId="1" applyNumberFormat="1" applyFont="1" applyFill="1" applyBorder="1" applyAlignment="1">
      <alignment horizontal="center" vertical="center" wrapText="1"/>
    </xf>
    <xf numFmtId="0" fontId="53" fillId="14" borderId="55" xfId="0" applyFont="1" applyFill="1" applyBorder="1" applyAlignment="1">
      <alignment horizontal="center" vertical="center" wrapText="1"/>
    </xf>
    <xf numFmtId="0" fontId="2" fillId="0" borderId="57" xfId="0" applyFont="1" applyBorder="1" applyAlignment="1">
      <alignment horizontal="center"/>
    </xf>
    <xf numFmtId="0" fontId="2" fillId="0" borderId="43" xfId="0" applyFont="1" applyBorder="1" applyAlignment="1">
      <alignment horizontal="center"/>
    </xf>
    <xf numFmtId="0" fontId="17" fillId="0" borderId="55" xfId="0" applyFont="1" applyBorder="1" applyAlignment="1">
      <alignment vertical="center" wrapText="1"/>
    </xf>
    <xf numFmtId="0" fontId="17" fillId="15" borderId="55" xfId="0" applyFont="1" applyFill="1" applyBorder="1" applyAlignment="1">
      <alignment vertical="center" wrapText="1"/>
    </xf>
    <xf numFmtId="0" fontId="0" fillId="0" borderId="55" xfId="0" applyBorder="1"/>
    <xf numFmtId="44" fontId="0" fillId="6" borderId="55" xfId="0" applyNumberFormat="1" applyFont="1" applyFill="1" applyBorder="1"/>
    <xf numFmtId="0" fontId="17" fillId="0" borderId="55" xfId="0" applyFont="1" applyBorder="1" applyAlignment="1">
      <alignment wrapText="1"/>
    </xf>
    <xf numFmtId="0" fontId="17" fillId="15" borderId="55" xfId="0" applyFont="1" applyFill="1" applyBorder="1" applyAlignment="1">
      <alignment horizontal="center" wrapText="1"/>
    </xf>
    <xf numFmtId="44" fontId="0" fillId="0" borderId="55" xfId="1" applyNumberFormat="1" applyFont="1" applyBorder="1" applyAlignment="1">
      <alignment horizontal="center"/>
    </xf>
    <xf numFmtId="44" fontId="17" fillId="0" borderId="55" xfId="0" applyNumberFormat="1" applyFont="1" applyBorder="1" applyAlignment="1">
      <alignment horizontal="center" wrapText="1"/>
    </xf>
    <xf numFmtId="0" fontId="0" fillId="0" borderId="55" xfId="0" applyFont="1" applyBorder="1" applyAlignment="1">
      <alignment horizontal="left"/>
    </xf>
    <xf numFmtId="44" fontId="0" fillId="6" borderId="55" xfId="0" applyNumberFormat="1" applyFont="1" applyFill="1" applyBorder="1" applyAlignment="1">
      <alignment horizontal="center"/>
    </xf>
    <xf numFmtId="44" fontId="17" fillId="0" borderId="55" xfId="0" applyNumberFormat="1" applyFont="1" applyFill="1" applyBorder="1" applyAlignment="1">
      <alignment horizontal="center" wrapText="1"/>
    </xf>
    <xf numFmtId="0" fontId="0" fillId="0" borderId="55" xfId="0" applyFont="1" applyFill="1" applyBorder="1" applyAlignment="1">
      <alignment horizontal="left" vertical="center" wrapText="1"/>
    </xf>
    <xf numFmtId="44" fontId="0" fillId="6" borderId="55" xfId="0" applyNumberFormat="1" applyFont="1" applyFill="1" applyBorder="1" applyAlignment="1">
      <alignment horizontal="center" vertical="center" wrapText="1"/>
    </xf>
    <xf numFmtId="0" fontId="2" fillId="2" borderId="75" xfId="0" applyFont="1" applyFill="1" applyBorder="1" applyAlignment="1">
      <alignment horizontal="center" vertical="center" wrapText="1"/>
    </xf>
    <xf numFmtId="0" fontId="33" fillId="6" borderId="61" xfId="21" applyFill="1" applyBorder="1"/>
    <xf numFmtId="167" fontId="33" fillId="6" borderId="76" xfId="1" applyNumberFormat="1" applyFont="1" applyFill="1" applyBorder="1" applyAlignment="1">
      <alignment horizontal="left" wrapText="1"/>
    </xf>
    <xf numFmtId="167" fontId="33" fillId="6" borderId="77" xfId="1" applyNumberFormat="1" applyFont="1" applyFill="1" applyBorder="1" applyAlignment="1">
      <alignment horizontal="left" wrapText="1"/>
    </xf>
    <xf numFmtId="167" fontId="33" fillId="6" borderId="61" xfId="1" applyNumberFormat="1" applyFont="1" applyFill="1" applyBorder="1" applyAlignment="1">
      <alignment horizontal="left" wrapText="1"/>
    </xf>
    <xf numFmtId="0" fontId="2" fillId="2" borderId="78" xfId="0" applyFont="1" applyFill="1" applyBorder="1" applyAlignment="1">
      <alignment horizontal="right" vertical="center" wrapText="1"/>
    </xf>
    <xf numFmtId="167" fontId="4" fillId="0" borderId="61" xfId="1" applyNumberFormat="1" applyFont="1" applyFill="1" applyBorder="1" applyAlignment="1">
      <alignment horizontal="center" vertical="center" wrapText="1"/>
    </xf>
    <xf numFmtId="0" fontId="17" fillId="15" borderId="61" xfId="0" applyFont="1" applyFill="1" applyBorder="1" applyAlignment="1">
      <alignment vertical="center" wrapText="1"/>
    </xf>
    <xf numFmtId="0" fontId="0" fillId="2" borderId="61" xfId="0" applyFill="1" applyBorder="1" applyAlignment="1">
      <alignment horizontal="centerContinuous" vertical="top" wrapText="1"/>
    </xf>
    <xf numFmtId="3" fontId="33" fillId="6" borderId="58" xfId="21" applyNumberFormat="1" applyFill="1" applyBorder="1" applyAlignment="1">
      <alignment wrapText="1"/>
    </xf>
    <xf numFmtId="179" fontId="17" fillId="0" borderId="61" xfId="0" applyNumberFormat="1" applyFont="1" applyBorder="1" applyAlignment="1">
      <alignment horizontal="center" wrapText="1"/>
    </xf>
    <xf numFmtId="170" fontId="17" fillId="0" borderId="79" xfId="0" applyNumberFormat="1" applyFont="1" applyBorder="1" applyAlignment="1">
      <alignment horizontal="center" wrapText="1"/>
    </xf>
    <xf numFmtId="0" fontId="53" fillId="14" borderId="80" xfId="0" applyFont="1" applyFill="1" applyBorder="1" applyAlignment="1">
      <alignment horizontal="center" vertical="center" wrapText="1"/>
    </xf>
    <xf numFmtId="0" fontId="53" fillId="14" borderId="79" xfId="0" applyFont="1" applyFill="1" applyBorder="1" applyAlignment="1">
      <alignment horizontal="center" vertical="center" wrapText="1"/>
    </xf>
    <xf numFmtId="0" fontId="17" fillId="0" borderId="79" xfId="0" applyFont="1" applyBorder="1" applyAlignment="1">
      <alignment vertical="center" wrapText="1"/>
    </xf>
    <xf numFmtId="0" fontId="17" fillId="0" borderId="79" xfId="0" applyFont="1" applyBorder="1" applyAlignment="1">
      <alignment wrapText="1"/>
    </xf>
    <xf numFmtId="14" fontId="33" fillId="6" borderId="73" xfId="21" applyNumberFormat="1" applyFill="1" applyBorder="1" applyAlignment="1">
      <alignment wrapText="1"/>
    </xf>
    <xf numFmtId="0" fontId="0" fillId="15" borderId="79" xfId="0" applyFill="1" applyBorder="1" applyAlignment="1">
      <alignment wrapText="1"/>
    </xf>
    <xf numFmtId="167" fontId="0" fillId="6" borderId="79" xfId="0" applyNumberFormat="1" applyFill="1" applyBorder="1" applyAlignment="1">
      <alignment horizontal="right" wrapText="1"/>
    </xf>
    <xf numFmtId="0" fontId="0" fillId="2" borderId="79" xfId="0" applyFont="1" applyFill="1" applyBorder="1" applyAlignment="1">
      <alignment horizontal="right" wrapText="1"/>
    </xf>
    <xf numFmtId="0" fontId="0" fillId="15" borderId="79" xfId="0" applyFill="1" applyBorder="1" applyAlignment="1">
      <alignment vertical="center" wrapText="1"/>
    </xf>
    <xf numFmtId="0" fontId="2" fillId="14" borderId="79" xfId="0" applyFont="1" applyFill="1" applyBorder="1" applyAlignment="1">
      <alignment horizontal="right" wrapText="1"/>
    </xf>
    <xf numFmtId="168" fontId="2" fillId="0" borderId="79" xfId="7" applyNumberFormat="1" applyFont="1" applyFill="1" applyBorder="1" applyAlignment="1">
      <alignment horizontal="right" wrapText="1"/>
    </xf>
    <xf numFmtId="167" fontId="2" fillId="0" borderId="79" xfId="7" applyNumberFormat="1" applyFont="1" applyFill="1" applyBorder="1" applyAlignment="1">
      <alignment horizontal="right" wrapText="1"/>
    </xf>
    <xf numFmtId="2" fontId="0" fillId="6" borderId="79" xfId="0" applyNumberFormat="1" applyFill="1" applyBorder="1" applyAlignment="1">
      <alignment horizontal="right" wrapText="1"/>
    </xf>
    <xf numFmtId="0" fontId="0" fillId="22" borderId="79" xfId="0" applyFill="1" applyBorder="1" applyAlignment="1">
      <alignment wrapText="1"/>
    </xf>
    <xf numFmtId="0" fontId="2" fillId="0" borderId="79" xfId="0" applyFont="1" applyBorder="1" applyAlignment="1">
      <alignment horizontal="right" wrapText="1"/>
    </xf>
    <xf numFmtId="0" fontId="0" fillId="6" borderId="79" xfId="0" applyFill="1" applyBorder="1" applyAlignment="1">
      <alignment horizontal="right" wrapText="1"/>
    </xf>
    <xf numFmtId="0" fontId="0" fillId="0" borderId="79" xfId="0" applyBorder="1" applyAlignment="1">
      <alignment wrapText="1"/>
    </xf>
    <xf numFmtId="168" fontId="0" fillId="0" borderId="79" xfId="0" applyNumberFormat="1" applyBorder="1" applyAlignment="1">
      <alignment wrapText="1"/>
    </xf>
    <xf numFmtId="169" fontId="0" fillId="0" borderId="79" xfId="0" applyNumberFormat="1" applyBorder="1" applyAlignment="1">
      <alignment horizontal="center" wrapText="1"/>
    </xf>
    <xf numFmtId="44" fontId="0" fillId="0" borderId="79" xfId="0" applyNumberFormat="1" applyBorder="1" applyAlignment="1">
      <alignment horizontal="center" wrapText="1"/>
    </xf>
    <xf numFmtId="168" fontId="4" fillId="2" borderId="79" xfId="0" applyNumberFormat="1" applyFont="1" applyFill="1" applyBorder="1" applyAlignment="1">
      <alignment wrapText="1"/>
    </xf>
    <xf numFmtId="10" fontId="4" fillId="2" borderId="79" xfId="8" applyNumberFormat="1" applyFont="1" applyFill="1" applyBorder="1" applyAlignment="1">
      <alignment wrapText="1"/>
    </xf>
    <xf numFmtId="3" fontId="0" fillId="0" borderId="79" xfId="0" applyNumberFormat="1" applyFill="1" applyBorder="1" applyAlignment="1">
      <alignment horizontal="center" vertical="top" wrapText="1"/>
    </xf>
    <xf numFmtId="167" fontId="0" fillId="0" borderId="79" xfId="0" applyNumberFormat="1" applyFill="1" applyBorder="1" applyAlignment="1">
      <alignment horizontal="center" vertical="top" wrapText="1"/>
    </xf>
    <xf numFmtId="1" fontId="0" fillId="2" borderId="79" xfId="0" applyNumberFormat="1" applyFont="1" applyFill="1" applyBorder="1"/>
    <xf numFmtId="0" fontId="0" fillId="24" borderId="81" xfId="0" applyFont="1" applyFill="1" applyBorder="1" applyAlignment="1">
      <alignment horizontal="center" vertical="center" wrapText="1"/>
    </xf>
    <xf numFmtId="0" fontId="0" fillId="24" borderId="79" xfId="0" applyFont="1" applyFill="1" applyBorder="1" applyAlignment="1">
      <alignment horizontal="center" vertical="center" wrapText="1"/>
    </xf>
    <xf numFmtId="0" fontId="0" fillId="24" borderId="82" xfId="0" applyFont="1" applyFill="1" applyBorder="1" applyAlignment="1">
      <alignment horizontal="center" vertical="center" wrapText="1"/>
    </xf>
    <xf numFmtId="0" fontId="2" fillId="19" borderId="83" xfId="0" applyFont="1" applyFill="1" applyBorder="1"/>
    <xf numFmtId="0" fontId="0" fillId="19" borderId="84" xfId="0" applyFill="1" applyBorder="1"/>
    <xf numFmtId="0" fontId="0" fillId="19" borderId="85" xfId="0" applyFill="1" applyBorder="1"/>
    <xf numFmtId="0" fontId="0" fillId="2" borderId="81" xfId="0" applyFont="1" applyFill="1" applyBorder="1" applyAlignment="1">
      <alignment horizontal="center" vertical="center" wrapText="1"/>
    </xf>
    <xf numFmtId="0" fontId="0" fillId="2" borderId="79" xfId="0" applyFont="1" applyFill="1" applyBorder="1" applyAlignment="1">
      <alignment horizontal="center" vertical="center" wrapText="1"/>
    </xf>
    <xf numFmtId="0" fontId="0" fillId="2" borderId="82" xfId="0" applyFont="1" applyFill="1" applyBorder="1" applyAlignment="1">
      <alignment horizontal="center" vertical="center" wrapText="1"/>
    </xf>
    <xf numFmtId="0" fontId="1" fillId="18" borderId="81" xfId="63" applyFill="1" applyBorder="1" applyAlignment="1">
      <alignment horizontal="center" vertical="center" wrapText="1"/>
    </xf>
    <xf numFmtId="0" fontId="1" fillId="18" borderId="79" xfId="63" applyFill="1" applyBorder="1" applyAlignment="1">
      <alignment horizontal="center" vertical="center" wrapText="1"/>
    </xf>
    <xf numFmtId="0" fontId="1" fillId="18" borderId="82" xfId="63" applyFill="1" applyBorder="1" applyAlignment="1">
      <alignment horizontal="center" vertical="center" wrapText="1"/>
    </xf>
    <xf numFmtId="0" fontId="0" fillId="0" borderId="80" xfId="0" applyBorder="1" applyAlignment="1">
      <alignment horizontal="center"/>
    </xf>
    <xf numFmtId="0" fontId="0" fillId="0" borderId="84" xfId="0" applyBorder="1" applyAlignment="1">
      <alignment horizontal="center"/>
    </xf>
    <xf numFmtId="0" fontId="0" fillId="0" borderId="86" xfId="0" applyBorder="1" applyAlignment="1">
      <alignment horizontal="center"/>
    </xf>
    <xf numFmtId="0" fontId="0" fillId="0" borderId="84" xfId="0" applyBorder="1" applyAlignment="1">
      <alignment horizontal="center"/>
    </xf>
    <xf numFmtId="0" fontId="0" fillId="0" borderId="79" xfId="0" applyBorder="1" applyAlignment="1">
      <alignment horizontal="center"/>
    </xf>
    <xf numFmtId="0" fontId="79" fillId="2" borderId="79" xfId="0" applyFont="1" applyFill="1" applyBorder="1"/>
    <xf numFmtId="0" fontId="79" fillId="2" borderId="79" xfId="0" applyFont="1" applyFill="1" applyBorder="1" applyAlignment="1">
      <alignment wrapText="1"/>
    </xf>
    <xf numFmtId="0" fontId="79" fillId="0" borderId="79" xfId="0" applyFont="1" applyFill="1" applyBorder="1" applyAlignment="1">
      <alignment wrapText="1"/>
    </xf>
    <xf numFmtId="9" fontId="0" fillId="6" borderId="79" xfId="8" applyFont="1" applyFill="1" applyBorder="1" applyAlignment="1">
      <alignment vertical="center" wrapText="1"/>
    </xf>
    <xf numFmtId="168" fontId="4" fillId="0" borderId="79" xfId="7" applyNumberFormat="1" applyFont="1" applyFill="1" applyBorder="1" applyAlignment="1">
      <alignment vertical="center" wrapText="1"/>
    </xf>
    <xf numFmtId="168" fontId="4" fillId="2" borderId="79" xfId="7" applyNumberFormat="1" applyFont="1" applyFill="1" applyBorder="1" applyAlignment="1">
      <alignment vertical="center" wrapText="1"/>
    </xf>
    <xf numFmtId="167" fontId="4" fillId="11" borderId="79" xfId="1" applyNumberFormat="1" applyFont="1" applyFill="1" applyBorder="1" applyAlignment="1">
      <alignment vertical="center" wrapText="1"/>
    </xf>
    <xf numFmtId="9" fontId="4" fillId="11" borderId="79" xfId="8" applyFont="1" applyFill="1" applyBorder="1" applyAlignment="1">
      <alignment vertical="center" wrapText="1"/>
    </xf>
    <xf numFmtId="173" fontId="35" fillId="0" borderId="79" xfId="1" applyNumberFormat="1" applyFont="1" applyFill="1" applyBorder="1" applyAlignment="1">
      <alignment vertical="center" wrapText="1"/>
    </xf>
    <xf numFmtId="1" fontId="35" fillId="0" borderId="79" xfId="1" applyNumberFormat="1" applyFont="1" applyFill="1" applyBorder="1" applyAlignment="1">
      <alignment vertical="center" wrapText="1"/>
    </xf>
    <xf numFmtId="49" fontId="4" fillId="2" borderId="79" xfId="22" applyNumberFormat="1" applyFont="1" applyFill="1" applyBorder="1" applyAlignment="1">
      <alignment vertical="center" wrapText="1"/>
    </xf>
    <xf numFmtId="49" fontId="77" fillId="2" borderId="79" xfId="0" applyNumberFormat="1" applyFont="1" applyFill="1" applyBorder="1"/>
    <xf numFmtId="0" fontId="77" fillId="2" borderId="79" xfId="0" applyFont="1" applyFill="1" applyBorder="1"/>
    <xf numFmtId="9" fontId="77" fillId="2" borderId="79" xfId="8" applyNumberFormat="1" applyFont="1" applyFill="1" applyBorder="1"/>
    <xf numFmtId="9" fontId="77" fillId="2" borderId="79" xfId="8" applyFont="1" applyFill="1" applyBorder="1"/>
    <xf numFmtId="1" fontId="77" fillId="2" borderId="79" xfId="8" applyNumberFormat="1" applyFont="1" applyFill="1" applyBorder="1"/>
    <xf numFmtId="173" fontId="77" fillId="2" borderId="79" xfId="8" applyNumberFormat="1" applyFont="1" applyFill="1" applyBorder="1"/>
    <xf numFmtId="9" fontId="1" fillId="6" borderId="79" xfId="8" applyNumberFormat="1" applyFill="1" applyBorder="1" applyAlignment="1">
      <alignment vertical="center" wrapText="1"/>
    </xf>
    <xf numFmtId="9" fontId="1" fillId="6" borderId="79" xfId="8" applyFill="1" applyBorder="1" applyAlignment="1">
      <alignment vertical="center" wrapText="1"/>
    </xf>
    <xf numFmtId="173" fontId="4" fillId="0" borderId="79" xfId="1" applyNumberFormat="1" applyFont="1" applyFill="1" applyBorder="1" applyAlignment="1">
      <alignment vertical="center" wrapText="1"/>
    </xf>
    <xf numFmtId="1" fontId="4" fillId="0" borderId="79" xfId="1" applyNumberFormat="1" applyFont="1" applyFill="1" applyBorder="1" applyAlignment="1">
      <alignment vertical="center" wrapText="1"/>
    </xf>
    <xf numFmtId="167" fontId="35" fillId="11" borderId="79" xfId="1" applyNumberFormat="1" applyFont="1" applyFill="1" applyBorder="1" applyAlignment="1">
      <alignment vertical="center" wrapText="1"/>
    </xf>
    <xf numFmtId="9" fontId="35" fillId="11" borderId="79" xfId="8" applyFont="1" applyFill="1" applyBorder="1" applyAlignment="1">
      <alignment vertical="center" wrapText="1"/>
    </xf>
    <xf numFmtId="0" fontId="0" fillId="2" borderId="87" xfId="0" applyFont="1" applyFill="1" applyBorder="1" applyAlignment="1">
      <alignment horizontal="centerContinuous" vertical="top" wrapText="1"/>
    </xf>
    <xf numFmtId="0" fontId="1" fillId="18" borderId="87" xfId="63" applyFill="1" applyBorder="1" applyAlignment="1">
      <alignment horizontal="centerContinuous" vertical="top" wrapText="1"/>
    </xf>
    <xf numFmtId="0" fontId="4" fillId="11" borderId="79" xfId="3" applyFont="1" applyFill="1" applyBorder="1" applyAlignment="1" applyProtection="1">
      <alignment horizontal="center" vertical="center" wrapText="1"/>
      <protection locked="0"/>
    </xf>
    <xf numFmtId="0" fontId="5" fillId="11" borderId="79" xfId="3" applyFont="1" applyFill="1" applyBorder="1" applyAlignment="1" applyProtection="1">
      <alignment horizontal="center" vertical="center" wrapText="1"/>
      <protection locked="0"/>
    </xf>
    <xf numFmtId="0" fontId="5" fillId="11" borderId="80" xfId="3" applyFont="1" applyFill="1" applyBorder="1" applyAlignment="1" applyProtection="1">
      <alignment horizontal="center" vertical="center" wrapText="1"/>
      <protection locked="0"/>
    </xf>
    <xf numFmtId="0" fontId="5" fillId="11" borderId="82" xfId="3" applyFont="1" applyFill="1" applyBorder="1" applyAlignment="1" applyProtection="1">
      <alignment horizontal="center" vertical="center" wrapText="1"/>
      <protection locked="0"/>
    </xf>
    <xf numFmtId="0" fontId="5" fillId="0" borderId="81" xfId="0" applyFont="1" applyBorder="1" applyAlignment="1">
      <alignment horizontal="center" vertical="center" wrapText="1"/>
    </xf>
    <xf numFmtId="0" fontId="5" fillId="0" borderId="79" xfId="0" applyFont="1" applyBorder="1" applyAlignment="1">
      <alignment horizontal="center" vertical="center" wrapText="1"/>
    </xf>
    <xf numFmtId="0" fontId="4" fillId="11" borderId="80" xfId="3" applyFont="1" applyFill="1" applyBorder="1" applyAlignment="1" applyProtection="1">
      <alignment horizontal="center" vertical="center" wrapText="1"/>
      <protection locked="0"/>
    </xf>
    <xf numFmtId="0" fontId="4" fillId="11" borderId="82" xfId="3" applyFont="1" applyFill="1" applyBorder="1" applyAlignment="1" applyProtection="1">
      <alignment horizontal="center" vertical="center" wrapText="1"/>
      <protection locked="0"/>
    </xf>
    <xf numFmtId="0" fontId="5" fillId="0" borderId="81" xfId="3" applyFont="1" applyBorder="1" applyAlignment="1" applyProtection="1">
      <alignment horizontal="center" vertical="center" wrapText="1"/>
      <protection locked="0"/>
    </xf>
    <xf numFmtId="0" fontId="5" fillId="0" borderId="79" xfId="3" applyFont="1" applyBorder="1" applyAlignment="1" applyProtection="1">
      <alignment horizontal="center" vertical="center" wrapText="1"/>
      <protection locked="0"/>
    </xf>
    <xf numFmtId="0" fontId="0" fillId="11" borderId="79" xfId="3" applyFont="1" applyFill="1" applyBorder="1" applyAlignment="1" applyProtection="1">
      <alignment horizontal="center" vertical="center" wrapText="1"/>
      <protection locked="0"/>
    </xf>
    <xf numFmtId="0" fontId="1" fillId="11" borderId="79" xfId="3" applyFont="1" applyFill="1" applyBorder="1" applyAlignment="1" applyProtection="1">
      <alignment horizontal="center" vertical="center" wrapText="1"/>
      <protection locked="0"/>
    </xf>
    <xf numFmtId="0" fontId="1" fillId="11" borderId="80" xfId="3" applyFont="1" applyFill="1" applyBorder="1" applyAlignment="1" applyProtection="1">
      <alignment horizontal="center" vertical="center" wrapText="1"/>
      <protection locked="0"/>
    </xf>
    <xf numFmtId="0" fontId="1" fillId="11" borderId="82" xfId="3" applyFont="1" applyFill="1" applyBorder="1" applyAlignment="1" applyProtection="1">
      <alignment horizontal="center" vertical="center" wrapText="1"/>
      <protection locked="0"/>
    </xf>
    <xf numFmtId="0" fontId="5" fillId="0" borderId="88" xfId="0" applyFont="1" applyBorder="1" applyAlignment="1">
      <alignment horizontal="center" vertical="center" wrapText="1"/>
    </xf>
    <xf numFmtId="0" fontId="5" fillId="0" borderId="89" xfId="0" applyFont="1" applyBorder="1" applyAlignment="1">
      <alignment horizontal="center" vertical="center" wrapText="1"/>
    </xf>
    <xf numFmtId="42" fontId="16" fillId="4" borderId="88" xfId="3" applyNumberFormat="1" applyFont="1" applyFill="1" applyBorder="1" applyAlignment="1" applyProtection="1">
      <alignment horizontal="center" vertical="center" wrapText="1"/>
      <protection locked="0"/>
    </xf>
    <xf numFmtId="42" fontId="16" fillId="4" borderId="90" xfId="3" applyNumberFormat="1" applyFont="1" applyFill="1" applyBorder="1" applyAlignment="1" applyProtection="1">
      <alignment horizontal="center" vertical="center" wrapText="1"/>
      <protection locked="0"/>
    </xf>
    <xf numFmtId="164" fontId="16" fillId="4" borderId="89" xfId="3" applyNumberFormat="1" applyFont="1" applyFill="1" applyBorder="1" applyAlignment="1" applyProtection="1">
      <alignment horizontal="center" vertical="center" wrapText="1"/>
      <protection locked="0"/>
    </xf>
    <xf numFmtId="165" fontId="16" fillId="4" borderId="89" xfId="3" applyNumberFormat="1" applyFont="1" applyFill="1" applyBorder="1" applyAlignment="1" applyProtection="1">
      <alignment horizontal="center" vertical="center" wrapText="1"/>
      <protection locked="0"/>
    </xf>
    <xf numFmtId="165" fontId="16" fillId="4" borderId="91" xfId="3" applyNumberFormat="1" applyFont="1" applyFill="1" applyBorder="1" applyAlignment="1" applyProtection="1">
      <alignment horizontal="center" vertical="center" wrapText="1"/>
      <protection locked="0"/>
    </xf>
    <xf numFmtId="42" fontId="16" fillId="4" borderId="89" xfId="3" applyNumberFormat="1" applyFont="1" applyFill="1" applyBorder="1" applyAlignment="1" applyProtection="1">
      <alignment horizontal="center" vertical="center" wrapText="1"/>
      <protection locked="0"/>
    </xf>
    <xf numFmtId="9" fontId="16" fillId="4" borderId="89" xfId="4" applyFont="1" applyFill="1" applyBorder="1" applyAlignment="1" applyProtection="1">
      <alignment horizontal="center" vertical="center" wrapText="1"/>
      <protection locked="0"/>
    </xf>
    <xf numFmtId="42" fontId="16" fillId="4" borderId="91" xfId="3" applyNumberFormat="1" applyFont="1" applyFill="1" applyBorder="1" applyAlignment="1" applyProtection="1">
      <alignment horizontal="center" vertical="center" wrapText="1"/>
      <protection locked="0"/>
    </xf>
    <xf numFmtId="164" fontId="16" fillId="4" borderId="92" xfId="3" applyNumberFormat="1" applyFont="1" applyFill="1" applyBorder="1" applyAlignment="1" applyProtection="1">
      <alignment horizontal="center" vertical="center" wrapText="1"/>
      <protection locked="0"/>
    </xf>
    <xf numFmtId="0" fontId="66" fillId="0" borderId="80" xfId="3" applyFont="1" applyBorder="1" applyAlignment="1" applyProtection="1">
      <alignment horizontal="center" wrapText="1"/>
      <protection locked="0"/>
    </xf>
    <xf numFmtId="0" fontId="66" fillId="0" borderId="80" xfId="3" applyFont="1" applyFill="1" applyBorder="1" applyAlignment="1" applyProtection="1">
      <alignment horizontal="center" wrapText="1"/>
      <protection locked="0"/>
    </xf>
    <xf numFmtId="0" fontId="68" fillId="2" borderId="86" xfId="0" applyFont="1" applyFill="1" applyBorder="1"/>
    <xf numFmtId="0" fontId="68" fillId="0" borderId="80" xfId="0" applyFont="1" applyBorder="1" applyAlignment="1">
      <alignment wrapText="1"/>
    </xf>
    <xf numFmtId="0" fontId="68" fillId="0" borderId="84" xfId="0" applyFont="1" applyBorder="1" applyAlignment="1">
      <alignment wrapText="1"/>
    </xf>
    <xf numFmtId="0" fontId="68" fillId="0" borderId="86" xfId="0" applyFont="1" applyBorder="1" applyAlignment="1">
      <alignment wrapText="1"/>
    </xf>
    <xf numFmtId="0" fontId="68" fillId="0" borderId="80" xfId="0" applyFont="1" applyFill="1" applyBorder="1" applyAlignment="1">
      <alignment wrapText="1"/>
    </xf>
    <xf numFmtId="0" fontId="68" fillId="0" borderId="86" xfId="0" applyFont="1" applyFill="1" applyBorder="1" applyAlignment="1">
      <alignment wrapText="1"/>
    </xf>
    <xf numFmtId="0" fontId="68" fillId="0" borderId="79" xfId="0" applyFont="1" applyFill="1" applyBorder="1" applyAlignment="1">
      <alignment wrapText="1"/>
    </xf>
    <xf numFmtId="0" fontId="65" fillId="0" borderId="79" xfId="0" applyFont="1" applyFill="1" applyBorder="1" applyAlignment="1">
      <alignment horizontal="center" vertical="center" wrapText="1"/>
    </xf>
    <xf numFmtId="0" fontId="68" fillId="0" borderId="80" xfId="0" applyFont="1" applyFill="1" applyBorder="1"/>
    <xf numFmtId="0" fontId="68" fillId="0" borderId="86" xfId="0" applyFont="1" applyFill="1" applyBorder="1"/>
    <xf numFmtId="0" fontId="68" fillId="0" borderId="79" xfId="0" applyFont="1" applyFill="1" applyBorder="1"/>
    <xf numFmtId="49" fontId="10" fillId="6" borderId="79" xfId="3" applyNumberFormat="1" applyFont="1" applyFill="1" applyBorder="1" applyAlignment="1" applyProtection="1">
      <alignment vertical="center" wrapText="1"/>
      <protection locked="0"/>
    </xf>
    <xf numFmtId="167" fontId="10" fillId="2" borderId="79" xfId="10" applyNumberFormat="1" applyFont="1" applyFill="1" applyBorder="1" applyAlignment="1" applyProtection="1">
      <alignment horizontal="right" vertical="center"/>
    </xf>
    <xf numFmtId="168" fontId="10" fillId="6" borderId="79" xfId="5" applyNumberFormat="1" applyFont="1" applyFill="1" applyBorder="1" applyAlignment="1" applyProtection="1">
      <alignment horizontal="right" vertical="center"/>
      <protection locked="0"/>
    </xf>
    <xf numFmtId="166" fontId="10" fillId="6" borderId="79" xfId="5" applyNumberFormat="1" applyFont="1" applyFill="1" applyBorder="1" applyAlignment="1" applyProtection="1">
      <alignment horizontal="right" vertical="center"/>
      <protection locked="0"/>
    </xf>
    <xf numFmtId="167" fontId="10" fillId="6" borderId="79" xfId="6" applyNumberFormat="1" applyFont="1" applyFill="1" applyBorder="1" applyAlignment="1" applyProtection="1">
      <alignment horizontal="right" vertical="center"/>
      <protection locked="0"/>
    </xf>
    <xf numFmtId="0" fontId="10" fillId="6" borderId="79" xfId="3" applyFont="1" applyFill="1" applyBorder="1" applyAlignment="1" applyProtection="1">
      <alignment horizontal="center" vertical="center"/>
      <protection locked="0"/>
    </xf>
    <xf numFmtId="173" fontId="66" fillId="0" borderId="79" xfId="0" applyNumberFormat="1" applyFont="1" applyFill="1" applyBorder="1" applyAlignment="1">
      <alignment vertical="center"/>
    </xf>
    <xf numFmtId="173" fontId="66" fillId="0" borderId="79" xfId="3" applyNumberFormat="1" applyFont="1" applyFill="1" applyBorder="1" applyProtection="1">
      <protection locked="0"/>
    </xf>
    <xf numFmtId="167" fontId="10" fillId="6" borderId="86" xfId="6" applyNumberFormat="1" applyFont="1" applyFill="1" applyBorder="1" applyAlignment="1" applyProtection="1">
      <alignment horizontal="right" vertical="center"/>
    </xf>
    <xf numFmtId="49" fontId="10" fillId="6" borderId="83" xfId="3" applyNumberFormat="1" applyFont="1" applyFill="1" applyBorder="1" applyAlignment="1" applyProtection="1">
      <alignment vertical="center" wrapText="1"/>
      <protection locked="0"/>
    </xf>
    <xf numFmtId="49" fontId="10" fillId="6" borderId="83" xfId="3" quotePrefix="1" applyNumberFormat="1" applyFont="1" applyFill="1" applyBorder="1" applyAlignment="1" applyProtection="1">
      <alignment vertical="center" wrapText="1"/>
      <protection locked="0"/>
    </xf>
    <xf numFmtId="49" fontId="10" fillId="6" borderId="93" xfId="3" applyNumberFormat="1" applyFont="1" applyFill="1" applyBorder="1" applyAlignment="1" applyProtection="1">
      <alignment vertical="center" wrapText="1"/>
      <protection locked="0"/>
    </xf>
    <xf numFmtId="49" fontId="10" fillId="6" borderId="89" xfId="3" applyNumberFormat="1" applyFont="1" applyFill="1" applyBorder="1" applyAlignment="1" applyProtection="1">
      <alignment vertical="center" wrapText="1"/>
      <protection locked="0"/>
    </xf>
    <xf numFmtId="167" fontId="10" fillId="6" borderId="90" xfId="6" applyNumberFormat="1" applyFont="1" applyFill="1" applyBorder="1" applyAlignment="1" applyProtection="1">
      <alignment horizontal="right" vertical="center"/>
    </xf>
    <xf numFmtId="168" fontId="10" fillId="6" borderId="89" xfId="5" applyNumberFormat="1" applyFont="1" applyFill="1" applyBorder="1" applyAlignment="1" applyProtection="1">
      <alignment horizontal="right" vertical="center"/>
      <protection locked="0"/>
    </xf>
    <xf numFmtId="167" fontId="10" fillId="6" borderId="89" xfId="6" applyNumberFormat="1" applyFont="1" applyFill="1" applyBorder="1" applyAlignment="1" applyProtection="1">
      <alignment horizontal="right" vertical="center"/>
      <protection locked="0"/>
    </xf>
    <xf numFmtId="0" fontId="10" fillId="6" borderId="89" xfId="3" applyFont="1" applyFill="1" applyBorder="1" applyAlignment="1" applyProtection="1">
      <alignment horizontal="center" vertical="center"/>
      <protection locked="0"/>
    </xf>
    <xf numFmtId="44" fontId="34" fillId="6" borderId="79" xfId="1" applyFont="1" applyFill="1" applyBorder="1" applyAlignment="1">
      <alignment horizontal="center" vertical="center"/>
    </xf>
    <xf numFmtId="0" fontId="0" fillId="2" borderId="79" xfId="9" quotePrefix="1" applyFont="1" applyFill="1" applyBorder="1" applyAlignment="1">
      <alignment horizontal="left" vertical="center"/>
    </xf>
    <xf numFmtId="44" fontId="10" fillId="6" borderId="79" xfId="1" applyFont="1" applyFill="1" applyBorder="1"/>
    <xf numFmtId="0" fontId="0" fillId="2" borderId="79" xfId="9" applyFont="1" applyFill="1" applyBorder="1" applyAlignment="1">
      <alignment horizontal="left" vertical="center"/>
    </xf>
    <xf numFmtId="0" fontId="1" fillId="6" borderId="79" xfId="9" applyBorder="1" applyAlignment="1">
      <alignment horizontal="center" vertical="top"/>
    </xf>
    <xf numFmtId="0" fontId="0" fillId="2" borderId="79" xfId="0" applyFont="1" applyFill="1" applyBorder="1" applyAlignment="1">
      <alignment horizontal="center" vertical="top"/>
    </xf>
    <xf numFmtId="0" fontId="1" fillId="18" borderId="80" xfId="63" applyFill="1" applyBorder="1" applyAlignment="1">
      <alignment horizontal="center" vertical="top"/>
    </xf>
    <xf numFmtId="0" fontId="1" fillId="18" borderId="86" xfId="63" applyFill="1" applyBorder="1" applyAlignment="1">
      <alignment horizontal="center" vertical="top"/>
    </xf>
    <xf numFmtId="0" fontId="4" fillId="19" borderId="79" xfId="62" applyFont="1" applyFill="1" applyBorder="1" applyAlignment="1">
      <alignment horizontal="center" vertical="center"/>
    </xf>
    <xf numFmtId="0" fontId="0" fillId="0" borderId="81" xfId="0" applyBorder="1" applyAlignment="1">
      <alignment horizontal="center" vertical="center"/>
    </xf>
    <xf numFmtId="0" fontId="0" fillId="6" borderId="79" xfId="9" applyFont="1" applyBorder="1" applyAlignment="1">
      <alignment horizontal="center" vertical="center"/>
    </xf>
    <xf numFmtId="167" fontId="1" fillId="0" borderId="79" xfId="1" applyNumberFormat="1" applyFont="1" applyBorder="1" applyAlignment="1">
      <alignment horizontal="center" vertical="center"/>
    </xf>
    <xf numFmtId="167" fontId="1" fillId="0" borderId="79" xfId="1" applyNumberFormat="1" applyFont="1" applyFill="1" applyBorder="1" applyAlignment="1">
      <alignment horizontal="center" vertical="center" wrapText="1"/>
    </xf>
    <xf numFmtId="0" fontId="1" fillId="6" borderId="80" xfId="9" applyBorder="1" applyAlignment="1">
      <alignment horizontal="center" vertical="center"/>
    </xf>
    <xf numFmtId="0" fontId="1" fillId="6" borderId="82" xfId="9" applyBorder="1" applyAlignment="1">
      <alignment horizontal="center" vertical="center"/>
    </xf>
    <xf numFmtId="49" fontId="0" fillId="6" borderId="79" xfId="9" applyNumberFormat="1" applyFont="1" applyBorder="1" applyAlignment="1">
      <alignment horizontal="center" vertical="center"/>
    </xf>
    <xf numFmtId="0" fontId="1" fillId="6" borderId="79" xfId="9" applyBorder="1" applyAlignment="1">
      <alignment horizontal="center" vertical="center"/>
    </xf>
    <xf numFmtId="167" fontId="0" fillId="0" borderId="79" xfId="1" applyNumberFormat="1" applyFont="1" applyBorder="1"/>
    <xf numFmtId="167" fontId="4" fillId="0" borderId="79" xfId="1" applyNumberFormat="1" applyFont="1" applyFill="1" applyBorder="1" applyAlignment="1">
      <alignment horizontal="center" vertical="center"/>
    </xf>
    <xf numFmtId="167" fontId="1" fillId="0" borderId="79" xfId="1" applyNumberFormat="1" applyFont="1" applyBorder="1"/>
    <xf numFmtId="0" fontId="1" fillId="6" borderId="82" xfId="9" applyFont="1" applyBorder="1" applyAlignment="1">
      <alignment horizontal="center" vertical="center"/>
    </xf>
    <xf numFmtId="0" fontId="0" fillId="2" borderId="85" xfId="0" applyFill="1" applyBorder="1"/>
    <xf numFmtId="0" fontId="0" fillId="0" borderId="81" xfId="0"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167" fontId="2" fillId="0" borderId="79" xfId="1" applyNumberFormat="1" applyFont="1" applyBorder="1" applyAlignment="1">
      <alignment horizontal="center" vertical="center" wrapText="1"/>
    </xf>
    <xf numFmtId="167" fontId="2" fillId="0" borderId="79" xfId="1" applyNumberFormat="1" applyFont="1" applyFill="1" applyBorder="1" applyAlignment="1">
      <alignment horizontal="center" vertical="center" wrapText="1"/>
    </xf>
    <xf numFmtId="0" fontId="2" fillId="0" borderId="84" xfId="0" applyFont="1" applyFill="1" applyBorder="1" applyAlignment="1">
      <alignment horizontal="center" vertical="center" wrapText="1"/>
    </xf>
    <xf numFmtId="0" fontId="0" fillId="2" borderId="81" xfId="0" applyFill="1" applyBorder="1" applyAlignment="1">
      <alignment horizontal="center" vertical="center"/>
    </xf>
    <xf numFmtId="0" fontId="0" fillId="2" borderId="79" xfId="9" applyFont="1" applyFill="1" applyBorder="1" applyAlignment="1">
      <alignment horizontal="center" vertical="center"/>
    </xf>
    <xf numFmtId="167" fontId="4" fillId="2" borderId="79" xfId="1" applyNumberFormat="1" applyFont="1" applyFill="1" applyBorder="1" applyAlignment="1">
      <alignment horizontal="center" vertical="center"/>
    </xf>
    <xf numFmtId="167" fontId="0" fillId="2" borderId="79" xfId="1" applyNumberFormat="1" applyFont="1" applyFill="1" applyBorder="1"/>
    <xf numFmtId="0" fontId="1" fillId="2" borderId="82" xfId="9" applyFill="1" applyBorder="1" applyAlignment="1">
      <alignment horizontal="center" vertical="center"/>
    </xf>
    <xf numFmtId="0" fontId="2" fillId="2" borderId="88" xfId="0" applyFont="1" applyFill="1" applyBorder="1" applyAlignment="1">
      <alignment horizontal="center" vertical="center"/>
    </xf>
    <xf numFmtId="0" fontId="2" fillId="2" borderId="89" xfId="0" applyFont="1" applyFill="1" applyBorder="1" applyAlignment="1">
      <alignment horizontal="center" vertical="center"/>
    </xf>
    <xf numFmtId="167" fontId="2" fillId="2" borderId="89" xfId="1" applyNumberFormat="1" applyFont="1" applyFill="1" applyBorder="1"/>
    <xf numFmtId="0" fontId="1" fillId="2" borderId="89" xfId="9" applyFill="1" applyBorder="1" applyAlignment="1">
      <alignment horizontal="center" vertical="center"/>
    </xf>
    <xf numFmtId="0" fontId="2" fillId="2" borderId="92" xfId="0" applyFont="1" applyFill="1" applyBorder="1" applyAlignment="1">
      <alignment horizontal="center" vertical="center"/>
    </xf>
    <xf numFmtId="0" fontId="0" fillId="11" borderId="81" xfId="0" applyFill="1" applyBorder="1" applyAlignment="1">
      <alignment horizontal="center" vertical="center"/>
    </xf>
    <xf numFmtId="49" fontId="0" fillId="6" borderId="79" xfId="9" applyNumberFormat="1" applyFont="1" applyBorder="1" applyAlignment="1">
      <alignment horizontal="center" vertical="center" wrapText="1"/>
    </xf>
    <xf numFmtId="49" fontId="1" fillId="6" borderId="79" xfId="9" applyNumberFormat="1" applyBorder="1" applyAlignment="1">
      <alignment horizontal="center" vertical="center" wrapText="1"/>
    </xf>
    <xf numFmtId="167" fontId="0" fillId="11" borderId="79" xfId="1" applyNumberFormat="1" applyFont="1" applyFill="1" applyBorder="1"/>
    <xf numFmtId="0" fontId="0" fillId="11" borderId="88" xfId="0" applyFill="1" applyBorder="1" applyAlignment="1">
      <alignment horizontal="center" vertical="center"/>
    </xf>
    <xf numFmtId="49" fontId="1" fillId="6" borderId="89" xfId="9" applyNumberFormat="1" applyBorder="1" applyAlignment="1">
      <alignment horizontal="center" vertical="center" wrapText="1"/>
    </xf>
    <xf numFmtId="167" fontId="0" fillId="0" borderId="89" xfId="1" applyNumberFormat="1" applyFont="1" applyBorder="1"/>
    <xf numFmtId="0" fontId="1" fillId="6" borderId="92" xfId="9" applyBorder="1" applyAlignment="1">
      <alignment horizontal="center" vertical="center"/>
    </xf>
    <xf numFmtId="49" fontId="1" fillId="0" borderId="89" xfId="9" applyNumberFormat="1" applyFill="1" applyBorder="1" applyAlignment="1">
      <alignment horizontal="center" vertical="center" wrapText="1"/>
    </xf>
    <xf numFmtId="167" fontId="0" fillId="2" borderId="89" xfId="1" applyNumberFormat="1" applyFont="1" applyFill="1" applyBorder="1"/>
    <xf numFmtId="167" fontId="0" fillId="2" borderId="91" xfId="1" applyNumberFormat="1" applyFont="1" applyFill="1" applyBorder="1"/>
    <xf numFmtId="0" fontId="1" fillId="0" borderId="92" xfId="9" applyFill="1" applyBorder="1" applyAlignment="1">
      <alignment horizontal="center" vertical="center"/>
    </xf>
    <xf numFmtId="0" fontId="2" fillId="0" borderId="81" xfId="0" applyFont="1" applyBorder="1" applyAlignment="1">
      <alignment horizontal="center" vertical="center" wrapText="1"/>
    </xf>
    <xf numFmtId="0" fontId="4" fillId="0" borderId="79" xfId="0" applyFont="1" applyBorder="1" applyAlignment="1">
      <alignment horizontal="center" vertical="center" wrapText="1"/>
    </xf>
    <xf numFmtId="167" fontId="2" fillId="0" borderId="79" xfId="1" applyNumberFormat="1" applyFont="1" applyBorder="1" applyAlignment="1">
      <alignment horizontal="center" vertical="center"/>
    </xf>
    <xf numFmtId="167" fontId="1" fillId="11" borderId="80" xfId="1" applyNumberFormat="1" applyFont="1" applyFill="1" applyBorder="1" applyAlignment="1">
      <alignment horizontal="center"/>
    </xf>
    <xf numFmtId="173" fontId="4" fillId="0" borderId="2" xfId="0" applyNumberFormat="1" applyFont="1" applyBorder="1" applyAlignment="1">
      <alignment horizontal="center" vertical="center"/>
    </xf>
    <xf numFmtId="3" fontId="4" fillId="8" borderId="2" xfId="0" applyNumberFormat="1" applyFont="1" applyFill="1" applyBorder="1" applyAlignment="1">
      <alignment horizontal="right"/>
    </xf>
    <xf numFmtId="9" fontId="0" fillId="17" borderId="79" xfId="63" applyNumberFormat="1" applyFont="1" applyBorder="1" applyAlignment="1">
      <alignment vertical="center"/>
    </xf>
    <xf numFmtId="9" fontId="0" fillId="0" borderId="79" xfId="63" applyNumberFormat="1" applyFont="1" applyFill="1" applyBorder="1" applyAlignment="1">
      <alignment vertical="center"/>
    </xf>
    <xf numFmtId="168" fontId="0" fillId="17" borderId="79" xfId="63" applyNumberFormat="1" applyFont="1" applyBorder="1" applyAlignment="1">
      <alignment vertical="center"/>
    </xf>
    <xf numFmtId="168" fontId="0" fillId="0" borderId="79" xfId="63" applyNumberFormat="1" applyFont="1" applyFill="1" applyBorder="1" applyAlignment="1">
      <alignment vertical="center"/>
    </xf>
    <xf numFmtId="175" fontId="0" fillId="18" borderId="79" xfId="63" applyNumberFormat="1" applyFont="1" applyFill="1" applyBorder="1" applyAlignment="1">
      <alignment vertical="center"/>
    </xf>
    <xf numFmtId="175" fontId="0" fillId="0" borderId="79" xfId="63" applyNumberFormat="1" applyFont="1" applyFill="1" applyBorder="1" applyAlignment="1">
      <alignment vertical="center"/>
    </xf>
    <xf numFmtId="175" fontId="0" fillId="17" borderId="79" xfId="63" applyNumberFormat="1" applyFont="1" applyBorder="1" applyAlignment="1">
      <alignment vertical="center"/>
    </xf>
    <xf numFmtId="8" fontId="0" fillId="18" borderId="79" xfId="63" applyNumberFormat="1" applyFont="1" applyFill="1" applyBorder="1" applyAlignment="1">
      <alignment vertical="center"/>
    </xf>
    <xf numFmtId="8" fontId="0" fillId="0" borderId="79" xfId="63" applyNumberFormat="1" applyFont="1" applyFill="1" applyBorder="1" applyAlignment="1">
      <alignment vertical="center"/>
    </xf>
    <xf numFmtId="44" fontId="0" fillId="0" borderId="79" xfId="63" applyNumberFormat="1" applyFont="1" applyFill="1" applyBorder="1" applyAlignment="1">
      <alignment vertical="center"/>
    </xf>
    <xf numFmtId="44" fontId="0" fillId="17" borderId="79" xfId="63" applyNumberFormat="1" applyFont="1" applyBorder="1" applyAlignment="1">
      <alignment vertical="center"/>
    </xf>
    <xf numFmtId="44" fontId="52" fillId="18" borderId="79" xfId="9" applyNumberFormat="1" applyFont="1" applyFill="1" applyBorder="1" applyAlignment="1"/>
    <xf numFmtId="44" fontId="52" fillId="0" borderId="79" xfId="9" applyNumberFormat="1" applyFont="1" applyFill="1" applyBorder="1" applyAlignment="1"/>
    <xf numFmtId="0" fontId="0" fillId="0" borderId="79" xfId="0" applyFont="1" applyBorder="1"/>
    <xf numFmtId="44" fontId="4" fillId="0" borderId="79" xfId="1" applyFont="1" applyFill="1" applyBorder="1"/>
    <xf numFmtId="44" fontId="4" fillId="0" borderId="79" xfId="1" applyFont="1" applyBorder="1"/>
    <xf numFmtId="0" fontId="4" fillId="0" borderId="80" xfId="0" applyFont="1" applyBorder="1"/>
    <xf numFmtId="0" fontId="4" fillId="0" borderId="84" xfId="0" applyFont="1" applyBorder="1"/>
    <xf numFmtId="0" fontId="4" fillId="0" borderId="84" xfId="0" applyFont="1" applyBorder="1" applyAlignment="1"/>
    <xf numFmtId="0" fontId="4" fillId="0" borderId="86" xfId="0" applyFont="1" applyBorder="1"/>
    <xf numFmtId="0" fontId="4" fillId="0" borderId="66" xfId="0" applyFont="1" applyBorder="1"/>
    <xf numFmtId="0" fontId="0" fillId="0" borderId="80" xfId="0" applyBorder="1"/>
    <xf numFmtId="0" fontId="0" fillId="0" borderId="84" xfId="0" applyBorder="1"/>
    <xf numFmtId="0" fontId="0" fillId="0" borderId="84" xfId="0" applyBorder="1" applyAlignment="1"/>
    <xf numFmtId="0" fontId="0" fillId="0" borderId="86" xfId="0" applyBorder="1"/>
    <xf numFmtId="0" fontId="24" fillId="0" borderId="80" xfId="0" applyFont="1" applyBorder="1"/>
    <xf numFmtId="0" fontId="24" fillId="0" borderId="84" xfId="0" applyFont="1" applyBorder="1"/>
    <xf numFmtId="0" fontId="24" fillId="0" borderId="86" xfId="0" applyFont="1" applyBorder="1"/>
    <xf numFmtId="0" fontId="24" fillId="0" borderId="79" xfId="0" applyFont="1" applyBorder="1" applyAlignment="1">
      <alignment horizontal="center"/>
    </xf>
    <xf numFmtId="2" fontId="24" fillId="0" borderId="66" xfId="0" applyNumberFormat="1" applyFont="1" applyBorder="1" applyAlignment="1">
      <alignment horizontal="center" vertical="center"/>
    </xf>
    <xf numFmtId="0" fontId="24" fillId="0" borderId="66" xfId="0" applyFont="1" applyBorder="1"/>
    <xf numFmtId="1" fontId="24" fillId="0" borderId="66" xfId="0" applyNumberFormat="1" applyFont="1" applyBorder="1" applyAlignment="1">
      <alignment horizontal="center" vertical="center"/>
    </xf>
  </cellXfs>
  <cellStyles count="64">
    <cellStyle name="40% - Accent2" xfId="63" builtinId="35"/>
    <cellStyle name="calculated" xfId="10" xr:uid="{00000000-0005-0000-0000-000001000000}"/>
    <cellStyle name="Comma" xfId="7" builtinId="3"/>
    <cellStyle name="Comma 10" xfId="41" xr:uid="{00000000-0005-0000-0000-000003000000}"/>
    <cellStyle name="Comma 14" xfId="48" xr:uid="{00000000-0005-0000-0000-000004000000}"/>
    <cellStyle name="Comma 2" xfId="5" xr:uid="{00000000-0005-0000-0000-000005000000}"/>
    <cellStyle name="Comma 2 2" xfId="40" xr:uid="{00000000-0005-0000-0000-000006000000}"/>
    <cellStyle name="Comma 2 2 2" xfId="44" xr:uid="{00000000-0005-0000-0000-000007000000}"/>
    <cellStyle name="Comma 2 3" xfId="28" xr:uid="{00000000-0005-0000-0000-000008000000}"/>
    <cellStyle name="Comma 3" xfId="15" xr:uid="{00000000-0005-0000-0000-000009000000}"/>
    <cellStyle name="Comma 3 2" xfId="38" xr:uid="{00000000-0005-0000-0000-00000A000000}"/>
    <cellStyle name="Currency" xfId="1" builtinId="4"/>
    <cellStyle name="Currency 2" xfId="6" xr:uid="{00000000-0005-0000-0000-00000C000000}"/>
    <cellStyle name="Currency 2 2" xfId="20" xr:uid="{00000000-0005-0000-0000-00000D000000}"/>
    <cellStyle name="Currency 2 3" xfId="19" xr:uid="{00000000-0005-0000-0000-00000E000000}"/>
    <cellStyle name="Currency 3" xfId="16" xr:uid="{00000000-0005-0000-0000-00000F000000}"/>
    <cellStyle name="Followed Hyperlink" xfId="12" builtinId="9" hidden="1"/>
    <cellStyle name="Followed Hyperlink" xfId="13" builtinId="9" hidden="1"/>
    <cellStyle name="Followed Hyperlink" xfId="11" builtinId="9" hidden="1"/>
    <cellStyle name="Good" xfId="22" builtinId="26"/>
    <cellStyle name="Hyperlink" xfId="2" builtinId="8"/>
    <cellStyle name="Hyperlink 2" xfId="18" xr:uid="{00000000-0005-0000-0000-000015000000}"/>
    <cellStyle name="Hyperlink 2 2" xfId="37" xr:uid="{00000000-0005-0000-0000-000016000000}"/>
    <cellStyle name="Hyperlink 2 20" xfId="47" xr:uid="{00000000-0005-0000-0000-000017000000}"/>
    <cellStyle name="Hyperlink 3" xfId="43" xr:uid="{00000000-0005-0000-0000-000018000000}"/>
    <cellStyle name="Normal" xfId="0" builtinId="0"/>
    <cellStyle name="Normal 10 2" xfId="32" xr:uid="{00000000-0005-0000-0000-00001B000000}"/>
    <cellStyle name="Normal 10 2 2" xfId="35" xr:uid="{00000000-0005-0000-0000-00001C000000}"/>
    <cellStyle name="Normal 10 3 2" xfId="49" xr:uid="{00000000-0005-0000-0000-00001D000000}"/>
    <cellStyle name="Normal 12 2 3 4" xfId="25" xr:uid="{00000000-0005-0000-0000-00001E000000}"/>
    <cellStyle name="Normal 14 5" xfId="30" xr:uid="{00000000-0005-0000-0000-00001F000000}"/>
    <cellStyle name="Normal 16" xfId="52" xr:uid="{00000000-0005-0000-0000-000020000000}"/>
    <cellStyle name="Normal 2" xfId="3" xr:uid="{00000000-0005-0000-0000-000021000000}"/>
    <cellStyle name="Normal 2 2" xfId="17" xr:uid="{00000000-0005-0000-0000-000022000000}"/>
    <cellStyle name="Normal 2 2 2" xfId="34" xr:uid="{00000000-0005-0000-0000-000023000000}"/>
    <cellStyle name="Normal 2 2 3" xfId="33" xr:uid="{00000000-0005-0000-0000-000024000000}"/>
    <cellStyle name="Normal 2 3" xfId="56" xr:uid="{00000000-0005-0000-0000-000025000000}"/>
    <cellStyle name="Normal 2 3 2 2" xfId="58" xr:uid="{00000000-0005-0000-0000-000026000000}"/>
    <cellStyle name="Normal 2 3 3" xfId="59" xr:uid="{00000000-0005-0000-0000-000027000000}"/>
    <cellStyle name="Normal 2 4" xfId="23" xr:uid="{00000000-0005-0000-0000-000028000000}"/>
    <cellStyle name="Normal 2 6" xfId="51" xr:uid="{00000000-0005-0000-0000-000029000000}"/>
    <cellStyle name="Normal 3" xfId="21" xr:uid="{00000000-0005-0000-0000-00002A000000}"/>
    <cellStyle name="Normal 3 2" xfId="29" xr:uid="{00000000-0005-0000-0000-00002B000000}"/>
    <cellStyle name="Normal 3 3" xfId="24" xr:uid="{00000000-0005-0000-0000-00002C000000}"/>
    <cellStyle name="Normal 4" xfId="27" xr:uid="{00000000-0005-0000-0000-00002D000000}"/>
    <cellStyle name="Normal 41" xfId="45" xr:uid="{00000000-0005-0000-0000-00002E000000}"/>
    <cellStyle name="Normal 42" xfId="46" xr:uid="{00000000-0005-0000-0000-00002F000000}"/>
    <cellStyle name="Normal 43" xfId="53" xr:uid="{00000000-0005-0000-0000-000030000000}"/>
    <cellStyle name="Normal 44" xfId="55" xr:uid="{00000000-0005-0000-0000-000031000000}"/>
    <cellStyle name="Normal 45" xfId="54" xr:uid="{00000000-0005-0000-0000-000032000000}"/>
    <cellStyle name="Normal 5" xfId="31" xr:uid="{00000000-0005-0000-0000-000033000000}"/>
    <cellStyle name="Normal 6" xfId="60" xr:uid="{00000000-0005-0000-0000-000034000000}"/>
    <cellStyle name="Normal 7" xfId="61" xr:uid="{00000000-0005-0000-0000-000035000000}"/>
    <cellStyle name="Output" xfId="62" builtinId="21"/>
    <cellStyle name="Percent" xfId="8" builtinId="5"/>
    <cellStyle name="Percent 10 2" xfId="42" xr:uid="{00000000-0005-0000-0000-000039000000}"/>
    <cellStyle name="Percent 2" xfId="4" xr:uid="{00000000-0005-0000-0000-00003A000000}"/>
    <cellStyle name="Percent 2 2" xfId="39" xr:uid="{00000000-0005-0000-0000-00003B000000}"/>
    <cellStyle name="Percent 2 2 2" xfId="50" xr:uid="{00000000-0005-0000-0000-00003C000000}"/>
    <cellStyle name="Percent 2 3" xfId="57" xr:uid="{00000000-0005-0000-0000-00003D000000}"/>
    <cellStyle name="Percent 2 4" xfId="26" xr:uid="{00000000-0005-0000-0000-00003E000000}"/>
    <cellStyle name="Percent 3" xfId="14" xr:uid="{00000000-0005-0000-0000-00003F000000}"/>
    <cellStyle name="Percent 3 2" xfId="36" xr:uid="{00000000-0005-0000-0000-000040000000}"/>
    <cellStyle name="User Input" xfId="9" xr:uid="{00000000-0005-0000-0000-000041000000}"/>
  </cellStyles>
  <dxfs count="8">
    <dxf>
      <font>
        <color rgb="FF006100"/>
      </font>
      <fill>
        <patternFill>
          <bgColor rgb="FFC6EFCE"/>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6699"/>
      <color rgb="FFD9E1F2"/>
      <color rgb="FFEDEDED"/>
      <color rgb="FF9999FF"/>
      <color rgb="FF333333"/>
      <color rgb="FFF1E8E7"/>
      <color rgb="FFE2EFDA"/>
      <color rgb="FF0000FF"/>
      <color rgb="FFE9EDDB"/>
      <color rgb="FFE3E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Carbon Emissions Per Year (Before</a:t>
            </a:r>
            <a:r>
              <a:rPr lang="en-US" baseline="0"/>
              <a:t> Offsets)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554141054199912E-2"/>
          <c:y val="0.13318416904187549"/>
          <c:w val="0.87819864057856611"/>
          <c:h val="0.6424032364844634"/>
        </c:manualLayout>
      </c:layout>
      <c:scatterChart>
        <c:scatterStyle val="lineMarker"/>
        <c:varyColors val="0"/>
        <c:ser>
          <c:idx val="4"/>
          <c:order val="0"/>
          <c:tx>
            <c:strRef>
              <c:f>'Operating Statements'!$A$387</c:f>
              <c:strCache>
                <c:ptCount val="1"/>
                <c:pt idx="0">
                  <c:v>Alternative 1</c:v>
                </c:pt>
              </c:strCache>
            </c:strRef>
          </c:tx>
          <c:spPr>
            <a:ln w="25400"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Statements'!$B$387:$V$387</c:f>
              <c:numCache>
                <c:formatCode>0</c:formatCode>
                <c:ptCount val="21"/>
                <c:pt idx="0">
                  <c:v>19156.560851999999</c:v>
                </c:pt>
                <c:pt idx="1">
                  <c:v>18873.817626</c:v>
                </c:pt>
                <c:pt idx="2">
                  <c:v>17952.122490000002</c:v>
                </c:pt>
                <c:pt idx="3">
                  <c:v>15573.183229999999</c:v>
                </c:pt>
                <c:pt idx="4">
                  <c:v>14112.183230000002</c:v>
                </c:pt>
                <c:pt idx="5">
                  <c:v>13337.951129999998</c:v>
                </c:pt>
                <c:pt idx="6">
                  <c:v>12311.951130000001</c:v>
                </c:pt>
                <c:pt idx="7">
                  <c:v>11285.951129999999</c:v>
                </c:pt>
                <c:pt idx="8">
                  <c:v>7697.6301299999996</c:v>
                </c:pt>
                <c:pt idx="9">
                  <c:v>6651.6301300000014</c:v>
                </c:pt>
                <c:pt idx="10">
                  <c:v>6128.6301299999996</c:v>
                </c:pt>
                <c:pt idx="11">
                  <c:v>5691.2765500000005</c:v>
                </c:pt>
                <c:pt idx="12">
                  <c:v>5164.2765500000005</c:v>
                </c:pt>
                <c:pt idx="13">
                  <c:v>4637.2765499999996</c:v>
                </c:pt>
                <c:pt idx="14">
                  <c:v>4110.2765500000005</c:v>
                </c:pt>
                <c:pt idx="15">
                  <c:v>3583.2765500000005</c:v>
                </c:pt>
                <c:pt idx="16">
                  <c:v>3092.0997600000001</c:v>
                </c:pt>
                <c:pt idx="17">
                  <c:v>2810.3318600000002</c:v>
                </c:pt>
                <c:pt idx="18">
                  <c:v>2290.3318600000002</c:v>
                </c:pt>
                <c:pt idx="19">
                  <c:v>1770.33186</c:v>
                </c:pt>
                <c:pt idx="20">
                  <c:v>1770.33186</c:v>
                </c:pt>
              </c:numCache>
            </c:numRef>
          </c:yVal>
          <c:smooth val="0"/>
          <c:extLst>
            <c:ext xmlns:c16="http://schemas.microsoft.com/office/drawing/2014/chart" uri="{C3380CC4-5D6E-409C-BE32-E72D297353CC}">
              <c16:uniqueId val="{00000000-0FB5-47CF-A005-7D2F438C0961}"/>
            </c:ext>
          </c:extLst>
        </c:ser>
        <c:ser>
          <c:idx val="5"/>
          <c:order val="1"/>
          <c:tx>
            <c:strRef>
              <c:f>'Operating Statements'!$A$388</c:f>
              <c:strCache>
                <c:ptCount val="1"/>
                <c:pt idx="0">
                  <c:v>Alternative 2</c:v>
                </c:pt>
              </c:strCache>
            </c:strRef>
          </c:tx>
          <c:spPr>
            <a:ln w="25400"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Statements'!$B$388:$V$388</c:f>
              <c:numCache>
                <c:formatCode>0</c:formatCode>
                <c:ptCount val="21"/>
                <c:pt idx="0">
                  <c:v>19156.560851999999</c:v>
                </c:pt>
                <c:pt idx="1">
                  <c:v>18931.610081999999</c:v>
                </c:pt>
                <c:pt idx="2">
                  <c:v>17952.122490000002</c:v>
                </c:pt>
                <c:pt idx="3">
                  <c:v>15964.12249</c:v>
                </c:pt>
                <c:pt idx="4">
                  <c:v>14112.183230000002</c:v>
                </c:pt>
                <c:pt idx="5">
                  <c:v>13138.183229999999</c:v>
                </c:pt>
                <c:pt idx="6">
                  <c:v>12164.183230000001</c:v>
                </c:pt>
                <c:pt idx="7">
                  <c:v>11190.183229999999</c:v>
                </c:pt>
                <c:pt idx="8">
                  <c:v>9285.8622299999988</c:v>
                </c:pt>
                <c:pt idx="9">
                  <c:v>8019.8622300000006</c:v>
                </c:pt>
                <c:pt idx="10">
                  <c:v>7386.8622299999988</c:v>
                </c:pt>
                <c:pt idx="11">
                  <c:v>6823.5086500000007</c:v>
                </c:pt>
                <c:pt idx="12">
                  <c:v>6202.5086499999998</c:v>
                </c:pt>
                <c:pt idx="13">
                  <c:v>5565.5086499999998</c:v>
                </c:pt>
                <c:pt idx="14">
                  <c:v>4928.5086500000007</c:v>
                </c:pt>
                <c:pt idx="15">
                  <c:v>4291.5086500000007</c:v>
                </c:pt>
                <c:pt idx="16">
                  <c:v>3690.3318599999998</c:v>
                </c:pt>
                <c:pt idx="17">
                  <c:v>3298.5639600000004</c:v>
                </c:pt>
                <c:pt idx="18">
                  <c:v>2668.56396</c:v>
                </c:pt>
                <c:pt idx="19">
                  <c:v>2038.56396</c:v>
                </c:pt>
                <c:pt idx="20">
                  <c:v>2038.56396</c:v>
                </c:pt>
              </c:numCache>
            </c:numRef>
          </c:yVal>
          <c:smooth val="0"/>
          <c:extLst>
            <c:ext xmlns:c16="http://schemas.microsoft.com/office/drawing/2014/chart" uri="{C3380CC4-5D6E-409C-BE32-E72D297353CC}">
              <c16:uniqueId val="{00000001-0FB5-47CF-A005-7D2F438C0961}"/>
            </c:ext>
          </c:extLst>
        </c:ser>
        <c:ser>
          <c:idx val="6"/>
          <c:order val="2"/>
          <c:tx>
            <c:strRef>
              <c:f>'Operating Statements'!$A$389</c:f>
              <c:strCache>
                <c:ptCount val="1"/>
                <c:pt idx="0">
                  <c:v>Alternative 3</c:v>
                </c:pt>
              </c:strCache>
            </c:strRef>
          </c:tx>
          <c:spPr>
            <a:ln w="25400"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Statements'!$B$389:$V$389</c:f>
              <c:numCache>
                <c:formatCode>0</c:formatCode>
                <c:ptCount val="21"/>
                <c:pt idx="0">
                  <c:v>19156.560851999999</c:v>
                </c:pt>
                <c:pt idx="1">
                  <c:v>19043.048957999999</c:v>
                </c:pt>
                <c:pt idx="2">
                  <c:v>18653.768909999999</c:v>
                </c:pt>
                <c:pt idx="3">
                  <c:v>16569.768909999999</c:v>
                </c:pt>
                <c:pt idx="4">
                  <c:v>15006.768910000003</c:v>
                </c:pt>
                <c:pt idx="5">
                  <c:v>13623.829649999998</c:v>
                </c:pt>
                <c:pt idx="6">
                  <c:v>12601.829650000001</c:v>
                </c:pt>
                <c:pt idx="7">
                  <c:v>10941.50865</c:v>
                </c:pt>
                <c:pt idx="8">
                  <c:v>9627.5086499999998</c:v>
                </c:pt>
                <c:pt idx="9">
                  <c:v>8313.5086500000016</c:v>
                </c:pt>
                <c:pt idx="10">
                  <c:v>7656.5086499999989</c:v>
                </c:pt>
                <c:pt idx="11">
                  <c:v>6999.5086500000007</c:v>
                </c:pt>
                <c:pt idx="12">
                  <c:v>6342.5086499999998</c:v>
                </c:pt>
                <c:pt idx="13">
                  <c:v>5685.5086499999998</c:v>
                </c:pt>
                <c:pt idx="14">
                  <c:v>5028.5086500000007</c:v>
                </c:pt>
                <c:pt idx="15">
                  <c:v>4371.5086500000007</c:v>
                </c:pt>
                <c:pt idx="16">
                  <c:v>3750.3318599999998</c:v>
                </c:pt>
                <c:pt idx="17">
                  <c:v>3298.5639600000004</c:v>
                </c:pt>
                <c:pt idx="18">
                  <c:v>2668.56396</c:v>
                </c:pt>
                <c:pt idx="19">
                  <c:v>2038.56396</c:v>
                </c:pt>
                <c:pt idx="20">
                  <c:v>2038.56396</c:v>
                </c:pt>
              </c:numCache>
            </c:numRef>
          </c:yVal>
          <c:smooth val="0"/>
          <c:extLst>
            <c:ext xmlns:c16="http://schemas.microsoft.com/office/drawing/2014/chart" uri="{C3380CC4-5D6E-409C-BE32-E72D297353CC}">
              <c16:uniqueId val="{00000002-0FB5-47CF-A005-7D2F438C0961}"/>
            </c:ext>
          </c:extLst>
        </c:ser>
        <c:ser>
          <c:idx val="0"/>
          <c:order val="3"/>
          <c:tx>
            <c:strRef>
              <c:f>'Operating Statements'!$A$385</c:f>
              <c:strCache>
                <c:ptCount val="1"/>
                <c:pt idx="0">
                  <c:v>Baseline - Reactive Fines</c:v>
                </c:pt>
              </c:strCache>
            </c:strRef>
          </c:tx>
          <c:spPr>
            <a:ln w="25400"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Statements'!$B$385:$V$385</c:f>
              <c:numCache>
                <c:formatCode>0</c:formatCode>
                <c:ptCount val="21"/>
                <c:pt idx="0">
                  <c:v>19156.560851999999</c:v>
                </c:pt>
                <c:pt idx="1">
                  <c:v>19156.560851999999</c:v>
                </c:pt>
                <c:pt idx="2">
                  <c:v>18042.159735599998</c:v>
                </c:pt>
                <c:pt idx="3">
                  <c:v>16078.015735599998</c:v>
                </c:pt>
                <c:pt idx="4">
                  <c:v>14604.907735600002</c:v>
                </c:pt>
                <c:pt idx="5">
                  <c:v>13622.835735599998</c:v>
                </c:pt>
                <c:pt idx="6">
                  <c:v>12640.763735600001</c:v>
                </c:pt>
                <c:pt idx="7">
                  <c:v>11582.6157356</c:v>
                </c:pt>
                <c:pt idx="8">
                  <c:v>10611.411735599999</c:v>
                </c:pt>
                <c:pt idx="9">
                  <c:v>9640.2077356000009</c:v>
                </c:pt>
                <c:pt idx="10">
                  <c:v>9154.6057355999983</c:v>
                </c:pt>
                <c:pt idx="11">
                  <c:v>8669.0037355999993</c:v>
                </c:pt>
                <c:pt idx="12">
                  <c:v>8173.0277355999997</c:v>
                </c:pt>
                <c:pt idx="13">
                  <c:v>7688.9077355999998</c:v>
                </c:pt>
                <c:pt idx="14">
                  <c:v>7204.7877355999999</c:v>
                </c:pt>
                <c:pt idx="15">
                  <c:v>6720.6677356</c:v>
                </c:pt>
                <c:pt idx="16">
                  <c:v>6236.5477355999992</c:v>
                </c:pt>
                <c:pt idx="17">
                  <c:v>5752.4277355999993</c:v>
                </c:pt>
                <c:pt idx="18">
                  <c:v>5268.3077355999994</c:v>
                </c:pt>
                <c:pt idx="19">
                  <c:v>4784.1877355999995</c:v>
                </c:pt>
                <c:pt idx="20">
                  <c:v>4784.1877355999995</c:v>
                </c:pt>
              </c:numCache>
            </c:numRef>
          </c:yVal>
          <c:smooth val="0"/>
          <c:extLst>
            <c:ext xmlns:c16="http://schemas.microsoft.com/office/drawing/2014/chart" uri="{C3380CC4-5D6E-409C-BE32-E72D297353CC}">
              <c16:uniqueId val="{00000003-0FB5-47CF-A005-7D2F438C0961}"/>
            </c:ext>
          </c:extLst>
        </c:ser>
        <c:ser>
          <c:idx val="1"/>
          <c:order val="4"/>
          <c:tx>
            <c:strRef>
              <c:f>'Operating Statements'!$A$386</c:f>
              <c:strCache>
                <c:ptCount val="1"/>
                <c:pt idx="0">
                  <c:v>Baseline - Offset Based Compliance</c:v>
                </c:pt>
              </c:strCache>
            </c:strRef>
          </c:tx>
          <c:spPr>
            <a:ln w="19050" cap="rnd">
              <a:solidFill>
                <a:schemeClr val="accent5"/>
              </a:solidFill>
              <a:round/>
            </a:ln>
            <a:effectLst/>
          </c:spPr>
          <c:marker>
            <c:symbol val="none"/>
          </c:marker>
          <c:xVal>
            <c:numRef>
              <c:f>'Operating Statements'!$C$383:$V$383</c:f>
              <c:numCache>
                <c:formatCode>0</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'Operating Statements'!$C$386:$V$386</c:f>
              <c:numCache>
                <c:formatCode>0</c:formatCode>
                <c:ptCount val="20"/>
                <c:pt idx="0">
                  <c:v>19156.560851999999</c:v>
                </c:pt>
                <c:pt idx="1">
                  <c:v>18042.159735599998</c:v>
                </c:pt>
                <c:pt idx="2">
                  <c:v>16078.015735599998</c:v>
                </c:pt>
                <c:pt idx="3">
                  <c:v>14604.907735600002</c:v>
                </c:pt>
                <c:pt idx="4">
                  <c:v>13622.835735599998</c:v>
                </c:pt>
                <c:pt idx="5">
                  <c:v>12640.763735600001</c:v>
                </c:pt>
                <c:pt idx="6">
                  <c:v>11582.6157356</c:v>
                </c:pt>
                <c:pt idx="7">
                  <c:v>10611.411735599999</c:v>
                </c:pt>
                <c:pt idx="8">
                  <c:v>9640.2077356000009</c:v>
                </c:pt>
                <c:pt idx="9">
                  <c:v>9154.6057355999983</c:v>
                </c:pt>
                <c:pt idx="10">
                  <c:v>8669.0037355999993</c:v>
                </c:pt>
                <c:pt idx="11">
                  <c:v>8173.0277355999997</c:v>
                </c:pt>
                <c:pt idx="12">
                  <c:v>7688.9077355999998</c:v>
                </c:pt>
                <c:pt idx="13">
                  <c:v>7204.7877355999999</c:v>
                </c:pt>
                <c:pt idx="14">
                  <c:v>6720.6677356</c:v>
                </c:pt>
                <c:pt idx="15">
                  <c:v>6236.5477355999992</c:v>
                </c:pt>
                <c:pt idx="16">
                  <c:v>5752.4277355999993</c:v>
                </c:pt>
                <c:pt idx="17">
                  <c:v>5268.3077355999994</c:v>
                </c:pt>
                <c:pt idx="18">
                  <c:v>4784.1877355999995</c:v>
                </c:pt>
                <c:pt idx="19">
                  <c:v>4784.1877355999995</c:v>
                </c:pt>
              </c:numCache>
            </c:numRef>
          </c:yVal>
          <c:smooth val="0"/>
          <c:extLst>
            <c:ext xmlns:c16="http://schemas.microsoft.com/office/drawing/2014/chart" uri="{C3380CC4-5D6E-409C-BE32-E72D297353CC}">
              <c16:uniqueId val="{00000004-0FB5-47CF-A005-7D2F438C0961}"/>
            </c:ext>
          </c:extLst>
        </c:ser>
        <c:ser>
          <c:idx val="2"/>
          <c:order val="5"/>
          <c:tx>
            <c:v>Emissions Target</c:v>
          </c:tx>
          <c:spPr>
            <a:ln w="28575" cap="rnd">
              <a:solidFill>
                <a:sysClr val="windowText" lastClr="000000"/>
              </a:solidFill>
              <a:prstDash val="sysDash"/>
              <a:round/>
            </a:ln>
            <a:effectLst/>
          </c:spPr>
          <c:marker>
            <c:symbol val="none"/>
          </c:marker>
          <c:xVal>
            <c:numRef>
              <c:f>'Operating Statements'!$E$474:$U$474</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'Operating Statements'!$E$475:$U$475</c:f>
              <c:numCache>
                <c:formatCode>General</c:formatCode>
                <c:ptCount val="17"/>
                <c:pt idx="0">
                  <c:v>13451</c:v>
                </c:pt>
                <c:pt idx="1">
                  <c:v>13451</c:v>
                </c:pt>
                <c:pt idx="2">
                  <c:v>13451</c:v>
                </c:pt>
                <c:pt idx="3">
                  <c:v>13451</c:v>
                </c:pt>
                <c:pt idx="4">
                  <c:v>13451</c:v>
                </c:pt>
                <c:pt idx="5">
                  <c:v>13451</c:v>
                </c:pt>
                <c:pt idx="6">
                  <c:v>6855</c:v>
                </c:pt>
                <c:pt idx="7">
                  <c:v>6855</c:v>
                </c:pt>
                <c:pt idx="8">
                  <c:v>6855</c:v>
                </c:pt>
                <c:pt idx="9">
                  <c:v>6855</c:v>
                </c:pt>
                <c:pt idx="10">
                  <c:v>6855</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5-0FB5-47CF-A005-7D2F438C0961}"/>
            </c:ext>
          </c:extLst>
        </c:ser>
        <c:dLbls>
          <c:showLegendKey val="0"/>
          <c:showVal val="0"/>
          <c:showCatName val="0"/>
          <c:showSerName val="0"/>
          <c:showPercent val="0"/>
          <c:showBubbleSize val="0"/>
        </c:dLbls>
        <c:axId val="518984400"/>
        <c:axId val="518982440"/>
        <c:extLst/>
      </c:scatterChart>
      <c:valAx>
        <c:axId val="518984400"/>
        <c:scaling>
          <c:orientation val="minMax"/>
          <c:max val="204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Tons </a:t>
                </a:r>
                <a:r>
                  <a:rPr lang="en-US" sz="1100" b="0" i="0" u="none" strike="noStrike" baseline="0">
                    <a:effectLst/>
                  </a:rPr>
                  <a:t>of C02eq</a:t>
                </a:r>
                <a:r>
                  <a:rPr lang="en-US" sz="1100" baseline="0"/>
                  <a:t> </a:t>
                </a:r>
                <a:r>
                  <a:rPr lang="en-US" sz="1100"/>
                  <a:t>/ 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valAx>
      <c:spPr>
        <a:noFill/>
        <a:ln w="28575">
          <a:noFill/>
        </a:ln>
        <a:effectLst/>
      </c:spPr>
    </c:plotArea>
    <c:legend>
      <c:legendPos val="b"/>
      <c:layout>
        <c:manualLayout>
          <c:xMode val="edge"/>
          <c:yMode val="edge"/>
          <c:x val="3.8223133573233085E-2"/>
          <c:y val="0.87037359805259784"/>
          <c:w val="0.94691408133213772"/>
          <c:h val="0.1070796997428661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Net Operating Income</a:t>
            </a:r>
            <a:r>
              <a:rPr lang="en-US" baseline="0"/>
              <a:t> (</a:t>
            </a:r>
            <a:r>
              <a:rPr lang="en-US"/>
              <a:t>NOI) </a:t>
            </a:r>
            <a:r>
              <a:rPr lang="en-US" baseline="0"/>
              <a:t>Per Year</a:t>
            </a:r>
          </a:p>
          <a:p>
            <a:pPr>
              <a:defRPr/>
            </a:pPr>
            <a:endParaRPr lang="en-US" sz="1000" baseline="0"/>
          </a:p>
          <a:p>
            <a:pPr>
              <a:defRPr/>
            </a:pPr>
            <a:r>
              <a:rPr lang="en-US" sz="1000" baseline="0"/>
              <a:t>(Note that NOI will reflect the holding period selected.)</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298580346291501E-2"/>
          <c:y val="0.15704289574957744"/>
          <c:w val="0.87089080637157468"/>
          <c:h val="0.5759389413573468"/>
        </c:manualLayout>
      </c:layout>
      <c:scatterChart>
        <c:scatterStyle val="lineMarker"/>
        <c:varyColors val="0"/>
        <c:ser>
          <c:idx val="0"/>
          <c:order val="0"/>
          <c:tx>
            <c:strRef>
              <c:f>'Operating Statements'!$A$270</c:f>
              <c:strCache>
                <c:ptCount val="1"/>
                <c:pt idx="0">
                  <c:v>Baseline - Reactive Fines</c:v>
                </c:pt>
              </c:strCache>
            </c:strRef>
          </c:tx>
          <c:spPr>
            <a:ln w="28575" cap="rnd">
              <a:solidFill>
                <a:srgbClr val="666699"/>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Statements'!$B$270:$U$270</c:f>
              <c:numCache>
                <c:formatCode>_("$"* #,##0.0_);_("$"* \(#,##0.0\);_("$"* "-"??_);_(@_)</c:formatCode>
                <c:ptCount val="20"/>
                <c:pt idx="0">
                  <c:v>68.589108055555556</c:v>
                </c:pt>
                <c:pt idx="1">
                  <c:v>63.729130518399998</c:v>
                </c:pt>
                <c:pt idx="2">
                  <c:v>74.06283617478401</c:v>
                </c:pt>
                <c:pt idx="3">
                  <c:v>76.88761393725585</c:v>
                </c:pt>
                <c:pt idx="4">
                  <c:v>79.195619426022802</c:v>
                </c:pt>
                <c:pt idx="5">
                  <c:v>82.753815792320637</c:v>
                </c:pt>
                <c:pt idx="6">
                  <c:v>79.061091735784885</c:v>
                </c:pt>
                <c:pt idx="7">
                  <c:v>89.322508037414323</c:v>
                </c:pt>
                <c:pt idx="8">
                  <c:v>92.694190069986618</c:v>
                </c:pt>
                <c:pt idx="9">
                  <c:v>94.693994608431552</c:v>
                </c:pt>
                <c:pt idx="10">
                  <c:v>98.572383795327909</c:v>
                </c:pt>
                <c:pt idx="11">
                  <c:v>98.223880492865177</c:v>
                </c:pt>
                <c:pt idx="12">
                  <c:v>106.75206764980601</c:v>
                </c:pt>
                <c:pt idx="13">
                  <c:v>111.03320848723531</c:v>
                </c:pt>
                <c:pt idx="14">
                  <c:v>111.7841121375541</c:v>
                </c:pt>
                <c:pt idx="15">
                  <c:v>116.35848012562207</c:v>
                </c:pt>
                <c:pt idx="16">
                  <c:v>121.08719364980625</c:v>
                </c:pt>
                <c:pt idx="17">
                  <c:v>125.97581095854258</c:v>
                </c:pt>
                <c:pt idx="18">
                  <c:v>131.02999963531803</c:v>
                </c:pt>
                <c:pt idx="19">
                  <c:v>136.25553378887182</c:v>
                </c:pt>
              </c:numCache>
            </c:numRef>
          </c:yVal>
          <c:smooth val="0"/>
          <c:extLst>
            <c:ext xmlns:c16="http://schemas.microsoft.com/office/drawing/2014/chart" uri="{C3380CC4-5D6E-409C-BE32-E72D297353CC}">
              <c16:uniqueId val="{00000003-5721-4548-A439-371EBFDAB8FF}"/>
            </c:ext>
          </c:extLst>
        </c:ser>
        <c:ser>
          <c:idx val="1"/>
          <c:order val="1"/>
          <c:tx>
            <c:strRef>
              <c:f>'Operating Statements'!$A$272</c:f>
              <c:strCache>
                <c:ptCount val="1"/>
                <c:pt idx="0">
                  <c:v>Baseline - Offset Based Compliance</c:v>
                </c:pt>
              </c:strCache>
            </c:strRef>
          </c:tx>
          <c:spPr>
            <a:ln w="28575" cap="rnd">
              <a:solidFill>
                <a:schemeClr val="accent5"/>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Statements'!$B$272:$U$272</c:f>
              <c:numCache>
                <c:formatCode>_("$"* #,##0.0_);_("$"* \(#,##0.0\);_("$"* "-"??_);_(@_)</c:formatCode>
                <c:ptCount val="20"/>
                <c:pt idx="0">
                  <c:v>68.589108055555556</c:v>
                </c:pt>
                <c:pt idx="1">
                  <c:v>63.729130518399998</c:v>
                </c:pt>
                <c:pt idx="2">
                  <c:v>74.06283617478401</c:v>
                </c:pt>
                <c:pt idx="3">
                  <c:v>76.745435621403871</c:v>
                </c:pt>
                <c:pt idx="4">
                  <c:v>79.750413603327402</c:v>
                </c:pt>
                <c:pt idx="5">
                  <c:v>82.836243999216279</c:v>
                </c:pt>
                <c:pt idx="6">
                  <c:v>79.061091735784885</c:v>
                </c:pt>
                <c:pt idx="7">
                  <c:v>89.322508037414323</c:v>
                </c:pt>
                <c:pt idx="8">
                  <c:v>92.694190069986618</c:v>
                </c:pt>
                <c:pt idx="9">
                  <c:v>96.017108320302029</c:v>
                </c:pt>
                <c:pt idx="10">
                  <c:v>99.662008935055411</c:v>
                </c:pt>
                <c:pt idx="11">
                  <c:v>99.081156727497756</c:v>
                </c:pt>
                <c:pt idx="12">
                  <c:v>107.3732800451929</c:v>
                </c:pt>
                <c:pt idx="13">
                  <c:v>111.42516685614299</c:v>
                </c:pt>
                <c:pt idx="14">
                  <c:v>115.16104357895121</c:v>
                </c:pt>
                <c:pt idx="15">
                  <c:v>119.49945620209891</c:v>
                </c:pt>
                <c:pt idx="16">
                  <c:v>123.99334961347996</c:v>
                </c:pt>
                <c:pt idx="17">
                  <c:v>128.64831805843298</c:v>
                </c:pt>
                <c:pt idx="18">
                  <c:v>133.4700661031228</c:v>
                </c:pt>
                <c:pt idx="19">
                  <c:v>138.4644058497741</c:v>
                </c:pt>
              </c:numCache>
            </c:numRef>
          </c:yVal>
          <c:smooth val="0"/>
          <c:extLst>
            <c:ext xmlns:c16="http://schemas.microsoft.com/office/drawing/2014/chart" uri="{C3380CC4-5D6E-409C-BE32-E72D297353CC}">
              <c16:uniqueId val="{00000004-5721-4548-A439-371EBFDAB8FF}"/>
            </c:ext>
          </c:extLst>
        </c:ser>
        <c:ser>
          <c:idx val="4"/>
          <c:order val="2"/>
          <c:tx>
            <c:strRef>
              <c:f>'Operating Statements'!$A$274</c:f>
              <c:strCache>
                <c:ptCount val="1"/>
                <c:pt idx="0">
                  <c:v>Alternative 1</c:v>
                </c:pt>
              </c:strCache>
            </c:strRef>
          </c:tx>
          <c:spPr>
            <a:ln w="28575" cap="rnd">
              <a:solidFill>
                <a:schemeClr val="accent6"/>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Statements'!$B$274:$U$274</c:f>
              <c:numCache>
                <c:formatCode>_("$"* #,##0.0_);_("$"* \(#,##0.0\);_("$"* "-"??_);_(@_)</c:formatCode>
                <c:ptCount val="20"/>
                <c:pt idx="0">
                  <c:v>68.048543845029243</c:v>
                </c:pt>
                <c:pt idx="1">
                  <c:v>69.889059036842113</c:v>
                </c:pt>
                <c:pt idx="2">
                  <c:v>71.227791179842114</c:v>
                </c:pt>
                <c:pt idx="3">
                  <c:v>77.21586228890142</c:v>
                </c:pt>
                <c:pt idx="4">
                  <c:v>75.754583877800911</c:v>
                </c:pt>
                <c:pt idx="5">
                  <c:v>83.058120195042108</c:v>
                </c:pt>
                <c:pt idx="6">
                  <c:v>86.206975576874157</c:v>
                </c:pt>
                <c:pt idx="7">
                  <c:v>59.84385738678062</c:v>
                </c:pt>
                <c:pt idx="8">
                  <c:v>95.075180141703044</c:v>
                </c:pt>
                <c:pt idx="9">
                  <c:v>98.621629288027222</c:v>
                </c:pt>
                <c:pt idx="10">
                  <c:v>102.18290341969913</c:v>
                </c:pt>
                <c:pt idx="11">
                  <c:v>105.98526970465353</c:v>
                </c:pt>
                <c:pt idx="12">
                  <c:v>109.92309561924488</c:v>
                </c:pt>
                <c:pt idx="13">
                  <c:v>114.00130965049227</c:v>
                </c:pt>
                <c:pt idx="14">
                  <c:v>118.08647315026312</c:v>
                </c:pt>
                <c:pt idx="15">
                  <c:v>122.39933377953997</c:v>
                </c:pt>
                <c:pt idx="16">
                  <c:v>126.83293315987382</c:v>
                </c:pt>
                <c:pt idx="17">
                  <c:v>131.52653630012762</c:v>
                </c:pt>
                <c:pt idx="18">
                  <c:v>136.39594153109113</c:v>
                </c:pt>
                <c:pt idx="19">
                  <c:v>141.43862928569598</c:v>
                </c:pt>
              </c:numCache>
            </c:numRef>
          </c:yVal>
          <c:smooth val="0"/>
          <c:extLst>
            <c:ext xmlns:c16="http://schemas.microsoft.com/office/drawing/2014/chart" uri="{C3380CC4-5D6E-409C-BE32-E72D297353CC}">
              <c16:uniqueId val="{00000000-612F-4B57-B3B9-0607BC733F52}"/>
            </c:ext>
          </c:extLst>
        </c:ser>
        <c:ser>
          <c:idx val="2"/>
          <c:order val="3"/>
          <c:tx>
            <c:strRef>
              <c:f>'Operating Statements'!$A$276</c:f>
              <c:strCache>
                <c:ptCount val="1"/>
                <c:pt idx="0">
                  <c:v>Alternative 2</c:v>
                </c:pt>
              </c:strCache>
            </c:strRef>
          </c:tx>
          <c:spPr>
            <a:ln w="28575" cap="rnd">
              <a:solidFill>
                <a:schemeClr val="accent2">
                  <a:lumMod val="75000"/>
                </a:schemeClr>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Statements'!$B$276:$U$276</c:f>
              <c:numCache>
                <c:formatCode>_("$"* #,##0.0_);_("$"* \(#,##0.0\);_("$"* "-"??_);_(@_)</c:formatCode>
                <c:ptCount val="20"/>
                <c:pt idx="0">
                  <c:v>68.220476476608184</c:v>
                </c:pt>
                <c:pt idx="1">
                  <c:v>69.682059036842105</c:v>
                </c:pt>
                <c:pt idx="2">
                  <c:v>74.170963607210538</c:v>
                </c:pt>
                <c:pt idx="3">
                  <c:v>73.879129533210644</c:v>
                </c:pt>
                <c:pt idx="4">
                  <c:v>80.188722310554439</c:v>
                </c:pt>
                <c:pt idx="5">
                  <c:v>83.246098397181129</c:v>
                </c:pt>
                <c:pt idx="6">
                  <c:v>86.394581236196046</c:v>
                </c:pt>
                <c:pt idx="7">
                  <c:v>84.607357640475271</c:v>
                </c:pt>
                <c:pt idx="8">
                  <c:v>93.098928915893609</c:v>
                </c:pt>
                <c:pt idx="9">
                  <c:v>96.587726350861672</c:v>
                </c:pt>
                <c:pt idx="10">
                  <c:v>100.1765487087726</c:v>
                </c:pt>
                <c:pt idx="11">
                  <c:v>103.94174874524718</c:v>
                </c:pt>
                <c:pt idx="12">
                  <c:v>107.85660296665534</c:v>
                </c:pt>
                <c:pt idx="13">
                  <c:v>111.91156485811595</c:v>
                </c:pt>
                <c:pt idx="14">
                  <c:v>115.94566113551714</c:v>
                </c:pt>
                <c:pt idx="15">
                  <c:v>120.23792176048967</c:v>
                </c:pt>
                <c:pt idx="16">
                  <c:v>124.65076905039993</c:v>
                </c:pt>
                <c:pt idx="17">
                  <c:v>129.32346832656026</c:v>
                </c:pt>
                <c:pt idx="18">
                  <c:v>134.17181828710122</c:v>
                </c:pt>
                <c:pt idx="19">
                  <c:v>139.19329978907274</c:v>
                </c:pt>
              </c:numCache>
            </c:numRef>
          </c:yVal>
          <c:smooth val="0"/>
          <c:extLst>
            <c:ext xmlns:c16="http://schemas.microsoft.com/office/drawing/2014/chart" uri="{C3380CC4-5D6E-409C-BE32-E72D297353CC}">
              <c16:uniqueId val="{00000005-5721-4548-A439-371EBFDAB8FF}"/>
            </c:ext>
          </c:extLst>
        </c:ser>
        <c:ser>
          <c:idx val="5"/>
          <c:order val="4"/>
          <c:tx>
            <c:strRef>
              <c:f>'Operating Statements'!$A$278</c:f>
              <c:strCache>
                <c:ptCount val="1"/>
                <c:pt idx="0">
                  <c:v>Alternative 3</c:v>
                </c:pt>
              </c:strCache>
            </c:strRef>
          </c:tx>
          <c:spPr>
            <a:ln w="28575" cap="rnd">
              <a:solidFill>
                <a:schemeClr val="accent4"/>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Statements'!$B$278:$U$278</c:f>
              <c:numCache>
                <c:formatCode>_("$"* #,##0.0_);_("$"* \(#,##0.0\);_("$"* "-"??_);_(@_)</c:formatCode>
                <c:ptCount val="20"/>
                <c:pt idx="0">
                  <c:v>68.651609108187145</c:v>
                </c:pt>
                <c:pt idx="1">
                  <c:v>70.526965031578939</c:v>
                </c:pt>
                <c:pt idx="2">
                  <c:v>73.769482501894743</c:v>
                </c:pt>
                <c:pt idx="3">
                  <c:v>76.50849243161889</c:v>
                </c:pt>
                <c:pt idx="4">
                  <c:v>76.311048360348167</c:v>
                </c:pt>
                <c:pt idx="5">
                  <c:v>82.826274206247803</c:v>
                </c:pt>
                <c:pt idx="6">
                  <c:v>81.075335986592876</c:v>
                </c:pt>
                <c:pt idx="7">
                  <c:v>89.272261250619195</c:v>
                </c:pt>
                <c:pt idx="8">
                  <c:v>92.670004676809612</c:v>
                </c:pt>
                <c:pt idx="9">
                  <c:v>96.145085998673594</c:v>
                </c:pt>
                <c:pt idx="10">
                  <c:v>99.810389700038584</c:v>
                </c:pt>
                <c:pt idx="11">
                  <c:v>103.60712582683945</c:v>
                </c:pt>
                <c:pt idx="12">
                  <c:v>107.52326143478106</c:v>
                </c:pt>
                <c:pt idx="13">
                  <c:v>111.57488991092295</c:v>
                </c:pt>
                <c:pt idx="14">
                  <c:v>115.60225476800638</c:v>
                </c:pt>
                <c:pt idx="15">
                  <c:v>119.89173407544789</c:v>
                </c:pt>
                <c:pt idx="16">
                  <c:v>124.64866868827113</c:v>
                </c:pt>
                <c:pt idx="17">
                  <c:v>129.32346832656026</c:v>
                </c:pt>
                <c:pt idx="18">
                  <c:v>134.17181828710122</c:v>
                </c:pt>
                <c:pt idx="19">
                  <c:v>139.19329978907274</c:v>
                </c:pt>
              </c:numCache>
            </c:numRef>
          </c:yVal>
          <c:smooth val="0"/>
          <c:extLst>
            <c:ext xmlns:c16="http://schemas.microsoft.com/office/drawing/2014/chart" uri="{C3380CC4-5D6E-409C-BE32-E72D297353CC}">
              <c16:uniqueId val="{00000006-5721-4548-A439-371EBFDAB8FF}"/>
            </c:ext>
          </c:extLst>
        </c:ser>
        <c:dLbls>
          <c:showLegendKey val="0"/>
          <c:showVal val="0"/>
          <c:showCatName val="0"/>
          <c:showSerName val="0"/>
          <c:showPercent val="0"/>
          <c:showBubbleSize val="0"/>
        </c:dLbls>
        <c:axId val="517782272"/>
        <c:axId val="527081256"/>
        <c:extLst/>
      </c:scatterChart>
      <c:valAx>
        <c:axId val="517782272"/>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081256"/>
        <c:crosses val="autoZero"/>
        <c:crossBetween val="midCat"/>
        <c:majorUnit val="1"/>
      </c:valAx>
      <c:valAx>
        <c:axId val="527081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_);_(&quot;$&quot;* \(#,##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782272"/>
        <c:crosses val="autoZero"/>
        <c:crossBetween val="midCat"/>
      </c:valAx>
      <c:spPr>
        <a:noFill/>
        <a:ln>
          <a:noFill/>
        </a:ln>
        <a:effectLst/>
      </c:spPr>
    </c:plotArea>
    <c:legend>
      <c:legendPos val="b"/>
      <c:layout>
        <c:manualLayout>
          <c:xMode val="edge"/>
          <c:yMode val="edge"/>
          <c:x val="3.2818787948860784E-2"/>
          <c:y val="0.82674680785276933"/>
          <c:w val="0.9376585015614799"/>
          <c:h val="0.125126020137092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NPV of Alternatives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09-CAB4-4FC4-901E-5003375BD1C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1-E671-45AB-B23C-AAFCE11B8F1E}"/>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E671-45AB-B23C-AAFCE11B8F1E}"/>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5-E671-45AB-B23C-AAFCE11B8F1E}"/>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6-5757-4ABF-B466-E587B12C6104}"/>
              </c:ext>
            </c:extLst>
          </c:dPt>
          <c:cat>
            <c:strRef>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f>'Operating Statements'!$V$307:$V$311</c:f>
              <c:numCache>
                <c:formatCode>"$"#,##0.00_);[Red]\("$"#,##0.00\)</c:formatCode>
                <c:ptCount val="5"/>
                <c:pt idx="0">
                  <c:v>-11.66370948585427</c:v>
                </c:pt>
                <c:pt idx="1">
                  <c:v>-1.5905203759602955</c:v>
                </c:pt>
                <c:pt idx="2">
                  <c:v>2.135581670533222</c:v>
                </c:pt>
                <c:pt idx="3">
                  <c:v>9.8189031788768588</c:v>
                </c:pt>
                <c:pt idx="4">
                  <c:v>7.2176305736016655</c:v>
                </c:pt>
              </c:numCache>
            </c:numRef>
          </c:val>
          <c:extLst>
            <c:ext xmlns:c16="http://schemas.microsoft.com/office/drawing/2014/chart" uri="{C3380CC4-5D6E-409C-BE32-E72D297353CC}">
              <c16:uniqueId val="{00000006-E671-45AB-B23C-AAFCE11B8F1E}"/>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Carbon Emissions Per Year (Before</a:t>
            </a:r>
            <a:r>
              <a:rPr lang="en-US" baseline="0"/>
              <a:t> Offsets)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04314797205168E-2"/>
          <c:y val="0.15062791075455456"/>
          <c:w val="0.88974841287018569"/>
          <c:h val="0.62322817494154747"/>
        </c:manualLayout>
      </c:layout>
      <c:scatterChart>
        <c:scatterStyle val="lineMarker"/>
        <c:varyColors val="0"/>
        <c:ser>
          <c:idx val="4"/>
          <c:order val="0"/>
          <c:tx>
            <c:strRef>
              <c:f>'Operating Statements'!$A$387</c:f>
              <c:strCache>
                <c:ptCount val="1"/>
                <c:pt idx="0">
                  <c:v>Alternative 1</c:v>
                </c:pt>
              </c:strCache>
            </c:strRef>
          </c:tx>
          <c:spPr>
            <a:ln w="28575"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Statements'!$B$387:$V$387</c:f>
              <c:numCache>
                <c:formatCode>0</c:formatCode>
                <c:ptCount val="21"/>
                <c:pt idx="0">
                  <c:v>19156.560851999999</c:v>
                </c:pt>
                <c:pt idx="1">
                  <c:v>18873.817626</c:v>
                </c:pt>
                <c:pt idx="2">
                  <c:v>17952.122490000002</c:v>
                </c:pt>
                <c:pt idx="3">
                  <c:v>15573.183229999999</c:v>
                </c:pt>
                <c:pt idx="4">
                  <c:v>14112.183230000002</c:v>
                </c:pt>
                <c:pt idx="5">
                  <c:v>13337.951129999998</c:v>
                </c:pt>
                <c:pt idx="6">
                  <c:v>12311.951130000001</c:v>
                </c:pt>
                <c:pt idx="7">
                  <c:v>11285.951129999999</c:v>
                </c:pt>
                <c:pt idx="8">
                  <c:v>7697.6301299999996</c:v>
                </c:pt>
                <c:pt idx="9">
                  <c:v>6651.6301300000014</c:v>
                </c:pt>
                <c:pt idx="10">
                  <c:v>6128.6301299999996</c:v>
                </c:pt>
                <c:pt idx="11">
                  <c:v>5691.2765500000005</c:v>
                </c:pt>
                <c:pt idx="12">
                  <c:v>5164.2765500000005</c:v>
                </c:pt>
                <c:pt idx="13">
                  <c:v>4637.2765499999996</c:v>
                </c:pt>
                <c:pt idx="14">
                  <c:v>4110.2765500000005</c:v>
                </c:pt>
                <c:pt idx="15">
                  <c:v>3583.2765500000005</c:v>
                </c:pt>
                <c:pt idx="16">
                  <c:v>3092.0997600000001</c:v>
                </c:pt>
                <c:pt idx="17">
                  <c:v>2810.3318600000002</c:v>
                </c:pt>
                <c:pt idx="18">
                  <c:v>2290.3318600000002</c:v>
                </c:pt>
                <c:pt idx="19">
                  <c:v>1770.33186</c:v>
                </c:pt>
                <c:pt idx="20">
                  <c:v>1770.33186</c:v>
                </c:pt>
              </c:numCache>
            </c:numRef>
          </c:yVal>
          <c:smooth val="0"/>
          <c:extLst>
            <c:ext xmlns:c16="http://schemas.microsoft.com/office/drawing/2014/chart" uri="{C3380CC4-5D6E-409C-BE32-E72D297353CC}">
              <c16:uniqueId val="{00000001-1497-48B5-820F-71017BF9707E}"/>
            </c:ext>
          </c:extLst>
        </c:ser>
        <c:ser>
          <c:idx val="5"/>
          <c:order val="1"/>
          <c:tx>
            <c:strRef>
              <c:f>'Operating Statements'!$A$388</c:f>
              <c:strCache>
                <c:ptCount val="1"/>
                <c:pt idx="0">
                  <c:v>Alternative 2</c:v>
                </c:pt>
              </c:strCache>
            </c:strRef>
          </c:tx>
          <c:spPr>
            <a:ln w="28575"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Statements'!$B$388:$V$388</c:f>
              <c:numCache>
                <c:formatCode>0</c:formatCode>
                <c:ptCount val="21"/>
                <c:pt idx="0">
                  <c:v>19156.560851999999</c:v>
                </c:pt>
                <c:pt idx="1">
                  <c:v>18931.610081999999</c:v>
                </c:pt>
                <c:pt idx="2">
                  <c:v>17952.122490000002</c:v>
                </c:pt>
                <c:pt idx="3">
                  <c:v>15964.12249</c:v>
                </c:pt>
                <c:pt idx="4">
                  <c:v>14112.183230000002</c:v>
                </c:pt>
                <c:pt idx="5">
                  <c:v>13138.183229999999</c:v>
                </c:pt>
                <c:pt idx="6">
                  <c:v>12164.183230000001</c:v>
                </c:pt>
                <c:pt idx="7">
                  <c:v>11190.183229999999</c:v>
                </c:pt>
                <c:pt idx="8">
                  <c:v>9285.8622299999988</c:v>
                </c:pt>
                <c:pt idx="9">
                  <c:v>8019.8622300000006</c:v>
                </c:pt>
                <c:pt idx="10">
                  <c:v>7386.8622299999988</c:v>
                </c:pt>
                <c:pt idx="11">
                  <c:v>6823.5086500000007</c:v>
                </c:pt>
                <c:pt idx="12">
                  <c:v>6202.5086499999998</c:v>
                </c:pt>
                <c:pt idx="13">
                  <c:v>5565.5086499999998</c:v>
                </c:pt>
                <c:pt idx="14">
                  <c:v>4928.5086500000007</c:v>
                </c:pt>
                <c:pt idx="15">
                  <c:v>4291.5086500000007</c:v>
                </c:pt>
                <c:pt idx="16">
                  <c:v>3690.3318599999998</c:v>
                </c:pt>
                <c:pt idx="17">
                  <c:v>3298.5639600000004</c:v>
                </c:pt>
                <c:pt idx="18">
                  <c:v>2668.56396</c:v>
                </c:pt>
                <c:pt idx="19">
                  <c:v>2038.56396</c:v>
                </c:pt>
                <c:pt idx="20">
                  <c:v>2038.56396</c:v>
                </c:pt>
              </c:numCache>
            </c:numRef>
          </c:yVal>
          <c:smooth val="0"/>
          <c:extLst>
            <c:ext xmlns:c16="http://schemas.microsoft.com/office/drawing/2014/chart" uri="{C3380CC4-5D6E-409C-BE32-E72D297353CC}">
              <c16:uniqueId val="{00000002-1497-48B5-820F-71017BF9707E}"/>
            </c:ext>
          </c:extLst>
        </c:ser>
        <c:ser>
          <c:idx val="6"/>
          <c:order val="2"/>
          <c:tx>
            <c:strRef>
              <c:f>'Operating Statements'!$A$389</c:f>
              <c:strCache>
                <c:ptCount val="1"/>
                <c:pt idx="0">
                  <c:v>Alternative 3</c:v>
                </c:pt>
              </c:strCache>
            </c:strRef>
          </c:tx>
          <c:spPr>
            <a:ln w="28575"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Statements'!$B$389:$V$389</c:f>
              <c:numCache>
                <c:formatCode>0</c:formatCode>
                <c:ptCount val="21"/>
                <c:pt idx="0">
                  <c:v>19156.560851999999</c:v>
                </c:pt>
                <c:pt idx="1">
                  <c:v>19043.048957999999</c:v>
                </c:pt>
                <c:pt idx="2">
                  <c:v>18653.768909999999</c:v>
                </c:pt>
                <c:pt idx="3">
                  <c:v>16569.768909999999</c:v>
                </c:pt>
                <c:pt idx="4">
                  <c:v>15006.768910000003</c:v>
                </c:pt>
                <c:pt idx="5">
                  <c:v>13623.829649999998</c:v>
                </c:pt>
                <c:pt idx="6">
                  <c:v>12601.829650000001</c:v>
                </c:pt>
                <c:pt idx="7">
                  <c:v>10941.50865</c:v>
                </c:pt>
                <c:pt idx="8">
                  <c:v>9627.5086499999998</c:v>
                </c:pt>
                <c:pt idx="9">
                  <c:v>8313.5086500000016</c:v>
                </c:pt>
                <c:pt idx="10">
                  <c:v>7656.5086499999989</c:v>
                </c:pt>
                <c:pt idx="11">
                  <c:v>6999.5086500000007</c:v>
                </c:pt>
                <c:pt idx="12">
                  <c:v>6342.5086499999998</c:v>
                </c:pt>
                <c:pt idx="13">
                  <c:v>5685.5086499999998</c:v>
                </c:pt>
                <c:pt idx="14">
                  <c:v>5028.5086500000007</c:v>
                </c:pt>
                <c:pt idx="15">
                  <c:v>4371.5086500000007</c:v>
                </c:pt>
                <c:pt idx="16">
                  <c:v>3750.3318599999998</c:v>
                </c:pt>
                <c:pt idx="17">
                  <c:v>3298.5639600000004</c:v>
                </c:pt>
                <c:pt idx="18">
                  <c:v>2668.56396</c:v>
                </c:pt>
                <c:pt idx="19">
                  <c:v>2038.56396</c:v>
                </c:pt>
                <c:pt idx="20">
                  <c:v>2038.56396</c:v>
                </c:pt>
              </c:numCache>
            </c:numRef>
          </c:yVal>
          <c:smooth val="0"/>
          <c:extLst>
            <c:ext xmlns:c16="http://schemas.microsoft.com/office/drawing/2014/chart" uri="{C3380CC4-5D6E-409C-BE32-E72D297353CC}">
              <c16:uniqueId val="{00000003-1497-48B5-820F-71017BF9707E}"/>
            </c:ext>
          </c:extLst>
        </c:ser>
        <c:ser>
          <c:idx val="0"/>
          <c:order val="3"/>
          <c:tx>
            <c:strRef>
              <c:f>'Operating Statements'!$A$385</c:f>
              <c:strCache>
                <c:ptCount val="1"/>
                <c:pt idx="0">
                  <c:v>Baseline - Reactive Fines</c:v>
                </c:pt>
              </c:strCache>
            </c:strRef>
          </c:tx>
          <c:spPr>
            <a:ln w="28575"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Statements'!$B$385:$V$385</c:f>
              <c:numCache>
                <c:formatCode>0</c:formatCode>
                <c:ptCount val="21"/>
                <c:pt idx="0">
                  <c:v>19156.560851999999</c:v>
                </c:pt>
                <c:pt idx="1">
                  <c:v>19156.560851999999</c:v>
                </c:pt>
                <c:pt idx="2">
                  <c:v>18042.159735599998</c:v>
                </c:pt>
                <c:pt idx="3">
                  <c:v>16078.015735599998</c:v>
                </c:pt>
                <c:pt idx="4">
                  <c:v>14604.907735600002</c:v>
                </c:pt>
                <c:pt idx="5">
                  <c:v>13622.835735599998</c:v>
                </c:pt>
                <c:pt idx="6">
                  <c:v>12640.763735600001</c:v>
                </c:pt>
                <c:pt idx="7">
                  <c:v>11582.6157356</c:v>
                </c:pt>
                <c:pt idx="8">
                  <c:v>10611.411735599999</c:v>
                </c:pt>
                <c:pt idx="9">
                  <c:v>9640.2077356000009</c:v>
                </c:pt>
                <c:pt idx="10">
                  <c:v>9154.6057355999983</c:v>
                </c:pt>
                <c:pt idx="11">
                  <c:v>8669.0037355999993</c:v>
                </c:pt>
                <c:pt idx="12">
                  <c:v>8173.0277355999997</c:v>
                </c:pt>
                <c:pt idx="13">
                  <c:v>7688.9077355999998</c:v>
                </c:pt>
                <c:pt idx="14">
                  <c:v>7204.7877355999999</c:v>
                </c:pt>
                <c:pt idx="15">
                  <c:v>6720.6677356</c:v>
                </c:pt>
                <c:pt idx="16">
                  <c:v>6236.5477355999992</c:v>
                </c:pt>
                <c:pt idx="17">
                  <c:v>5752.4277355999993</c:v>
                </c:pt>
                <c:pt idx="18">
                  <c:v>5268.3077355999994</c:v>
                </c:pt>
                <c:pt idx="19">
                  <c:v>4784.1877355999995</c:v>
                </c:pt>
                <c:pt idx="20">
                  <c:v>4784.1877355999995</c:v>
                </c:pt>
              </c:numCache>
            </c:numRef>
          </c:yVal>
          <c:smooth val="0"/>
          <c:extLst>
            <c:ext xmlns:c16="http://schemas.microsoft.com/office/drawing/2014/chart" uri="{C3380CC4-5D6E-409C-BE32-E72D297353CC}">
              <c16:uniqueId val="{00000004-1497-48B5-820F-71017BF9707E}"/>
            </c:ext>
          </c:extLst>
        </c:ser>
        <c:ser>
          <c:idx val="1"/>
          <c:order val="4"/>
          <c:tx>
            <c:strRef>
              <c:f>'Operating Statements'!$A$386</c:f>
              <c:strCache>
                <c:ptCount val="1"/>
                <c:pt idx="0">
                  <c:v>Baseline - Offset Based Compliance</c:v>
                </c:pt>
              </c:strCache>
            </c:strRef>
          </c:tx>
          <c:spPr>
            <a:ln w="28575" cap="rnd">
              <a:solidFill>
                <a:schemeClr val="accent5"/>
              </a:solidFill>
              <a:round/>
            </a:ln>
            <a:effectLst/>
          </c:spPr>
          <c:marker>
            <c:symbol val="none"/>
          </c:marker>
          <c:xVal>
            <c:numRef>
              <c:f>'Operating Statements'!$C$383:$V$383</c:f>
              <c:numCache>
                <c:formatCode>0</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'Operating Statements'!$C$386:$V$386</c:f>
              <c:numCache>
                <c:formatCode>0</c:formatCode>
                <c:ptCount val="20"/>
                <c:pt idx="0">
                  <c:v>19156.560851999999</c:v>
                </c:pt>
                <c:pt idx="1">
                  <c:v>18042.159735599998</c:v>
                </c:pt>
                <c:pt idx="2">
                  <c:v>16078.015735599998</c:v>
                </c:pt>
                <c:pt idx="3">
                  <c:v>14604.907735600002</c:v>
                </c:pt>
                <c:pt idx="4">
                  <c:v>13622.835735599998</c:v>
                </c:pt>
                <c:pt idx="5">
                  <c:v>12640.763735600001</c:v>
                </c:pt>
                <c:pt idx="6">
                  <c:v>11582.6157356</c:v>
                </c:pt>
                <c:pt idx="7">
                  <c:v>10611.411735599999</c:v>
                </c:pt>
                <c:pt idx="8">
                  <c:v>9640.2077356000009</c:v>
                </c:pt>
                <c:pt idx="9">
                  <c:v>9154.6057355999983</c:v>
                </c:pt>
                <c:pt idx="10">
                  <c:v>8669.0037355999993</c:v>
                </c:pt>
                <c:pt idx="11">
                  <c:v>8173.0277355999997</c:v>
                </c:pt>
                <c:pt idx="12">
                  <c:v>7688.9077355999998</c:v>
                </c:pt>
                <c:pt idx="13">
                  <c:v>7204.7877355999999</c:v>
                </c:pt>
                <c:pt idx="14">
                  <c:v>6720.6677356</c:v>
                </c:pt>
                <c:pt idx="15">
                  <c:v>6236.5477355999992</c:v>
                </c:pt>
                <c:pt idx="16">
                  <c:v>5752.4277355999993</c:v>
                </c:pt>
                <c:pt idx="17">
                  <c:v>5268.3077355999994</c:v>
                </c:pt>
                <c:pt idx="18">
                  <c:v>4784.1877355999995</c:v>
                </c:pt>
                <c:pt idx="19">
                  <c:v>4784.1877355999995</c:v>
                </c:pt>
              </c:numCache>
            </c:numRef>
          </c:yVal>
          <c:smooth val="0"/>
          <c:extLst>
            <c:ext xmlns:c16="http://schemas.microsoft.com/office/drawing/2014/chart" uri="{C3380CC4-5D6E-409C-BE32-E72D297353CC}">
              <c16:uniqueId val="{00000001-9948-4477-9A76-57DB9CC98D39}"/>
            </c:ext>
          </c:extLst>
        </c:ser>
        <c:ser>
          <c:idx val="2"/>
          <c:order val="5"/>
          <c:tx>
            <c:v>Emissions Target</c:v>
          </c:tx>
          <c:spPr>
            <a:ln w="28575" cap="rnd">
              <a:solidFill>
                <a:sysClr val="windowText" lastClr="000000"/>
              </a:solidFill>
              <a:prstDash val="sysDash"/>
              <a:round/>
            </a:ln>
            <a:effectLst/>
          </c:spPr>
          <c:marker>
            <c:symbol val="none"/>
          </c:marker>
          <c:xVal>
            <c:numRef>
              <c:f>'Operating Statements'!$E$474:$U$474</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'Operating Statements'!$E$475:$U$475</c:f>
              <c:numCache>
                <c:formatCode>General</c:formatCode>
                <c:ptCount val="17"/>
                <c:pt idx="0">
                  <c:v>13451</c:v>
                </c:pt>
                <c:pt idx="1">
                  <c:v>13451</c:v>
                </c:pt>
                <c:pt idx="2">
                  <c:v>13451</c:v>
                </c:pt>
                <c:pt idx="3">
                  <c:v>13451</c:v>
                </c:pt>
                <c:pt idx="4">
                  <c:v>13451</c:v>
                </c:pt>
                <c:pt idx="5">
                  <c:v>13451</c:v>
                </c:pt>
                <c:pt idx="6">
                  <c:v>6855</c:v>
                </c:pt>
                <c:pt idx="7">
                  <c:v>6855</c:v>
                </c:pt>
                <c:pt idx="8">
                  <c:v>6855</c:v>
                </c:pt>
                <c:pt idx="9">
                  <c:v>6855</c:v>
                </c:pt>
                <c:pt idx="10">
                  <c:v>6855</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1FA5-4174-9F29-2F96FED5BDFB}"/>
            </c:ext>
          </c:extLst>
        </c:ser>
        <c:dLbls>
          <c:showLegendKey val="0"/>
          <c:showVal val="0"/>
          <c:showCatName val="0"/>
          <c:showSerName val="0"/>
          <c:showPercent val="0"/>
          <c:showBubbleSize val="0"/>
        </c:dLbls>
        <c:axId val="518984400"/>
        <c:axId val="518982440"/>
        <c:extLst/>
      </c:scatterChart>
      <c:valAx>
        <c:axId val="518984400"/>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Tons </a:t>
                </a:r>
                <a:r>
                  <a:rPr lang="en-US" sz="1100" b="0" i="0" u="none" strike="noStrike" baseline="0">
                    <a:effectLst/>
                  </a:rPr>
                  <a:t>of C02eq</a:t>
                </a:r>
                <a:r>
                  <a:rPr lang="en-US" sz="1100" baseline="0"/>
                  <a:t> </a:t>
                </a:r>
                <a:r>
                  <a:rPr lang="en-US" sz="1100"/>
                  <a:t>/ 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valAx>
      <c:spPr>
        <a:noFill/>
        <a:ln w="28575">
          <a:noFill/>
        </a:ln>
        <a:effectLst/>
      </c:spPr>
    </c:plotArea>
    <c:legend>
      <c:legendPos val="b"/>
      <c:layout>
        <c:manualLayout>
          <c:xMode val="edge"/>
          <c:yMode val="edge"/>
          <c:x val="3.8223133573233085E-2"/>
          <c:y val="0.82063100617933771"/>
          <c:w val="0.9011603510647227"/>
          <c:h val="0.15682234764512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Relative NPV Compared to Baseline</a:t>
            </a:r>
            <a:r>
              <a:rPr lang="en-US" baseline="0"/>
              <a:t> </a:t>
            </a:r>
            <a:r>
              <a:rPr lang="en-US"/>
              <a:t>- Varying Time Horizons</a:t>
            </a:r>
          </a:p>
        </c:rich>
      </c:tx>
      <c:overlay val="0"/>
      <c:spPr>
        <a:noFill/>
        <a:ln>
          <a:noFill/>
        </a:ln>
        <a:effectLst/>
      </c:spPr>
    </c:title>
    <c:autoTitleDeleted val="0"/>
    <c:plotArea>
      <c:layout/>
      <c:barChart>
        <c:barDir val="col"/>
        <c:grouping val="clustered"/>
        <c:varyColors val="0"/>
        <c:ser>
          <c:idx val="3"/>
          <c:order val="0"/>
          <c:tx>
            <c:strRef>
              <c:f>'Operating Statements'!$B$305</c:f>
              <c:strCache>
                <c:ptCount val="1"/>
                <c:pt idx="0">
                  <c:v>5-yr</c:v>
                </c:pt>
              </c:strCache>
            </c:strRef>
          </c:tx>
          <c:spPr>
            <a:solidFill>
              <a:schemeClr val="accent4">
                <a:lumMod val="60000"/>
                <a:lumOff val="40000"/>
              </a:schemeClr>
            </a:solidFill>
            <a:ln>
              <a:solidFill>
                <a:schemeClr val="bg1">
                  <a:lumMod val="95000"/>
                </a:schemeClr>
              </a:solidFill>
            </a:ln>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91-44EA-4708-8468-8B1B58DEA28C}"/>
              </c:ext>
            </c:extLst>
          </c:dPt>
          <c:dPt>
            <c:idx val="1"/>
            <c:invertIfNegative val="0"/>
            <c:bubble3D val="0"/>
            <c:spPr>
              <a:solidFill>
                <a:schemeClr val="accent1">
                  <a:lumMod val="75000"/>
                </a:schemeClr>
              </a:solidFill>
              <a:ln>
                <a:solidFill>
                  <a:schemeClr val="bg1">
                    <a:lumMod val="95000"/>
                  </a:schemeClr>
                </a:solidFill>
              </a:ln>
              <a:effectLst/>
            </c:spPr>
            <c:extLst>
              <c:ext xmlns:c16="http://schemas.microsoft.com/office/drawing/2014/chart" uri="{C3380CC4-5D6E-409C-BE32-E72D297353CC}">
                <c16:uniqueId val="{00000092-44EA-4708-8468-8B1B58DEA28C}"/>
              </c:ext>
            </c:extLst>
          </c:dPt>
          <c:dPt>
            <c:idx val="2"/>
            <c:invertIfNegative val="0"/>
            <c:bubble3D val="0"/>
            <c:spPr>
              <a:solidFill>
                <a:schemeClr val="accent6">
                  <a:lumMod val="75000"/>
                </a:schemeClr>
              </a:solidFill>
              <a:ln>
                <a:solidFill>
                  <a:schemeClr val="bg1">
                    <a:lumMod val="95000"/>
                  </a:schemeClr>
                </a:solidFill>
              </a:ln>
              <a:effectLst/>
            </c:spPr>
            <c:extLst>
              <c:ext xmlns:c16="http://schemas.microsoft.com/office/drawing/2014/chart" uri="{C3380CC4-5D6E-409C-BE32-E72D297353CC}">
                <c16:uniqueId val="{00000093-44EA-4708-8468-8B1B58DEA28C}"/>
              </c:ext>
            </c:extLst>
          </c:dPt>
          <c:dPt>
            <c:idx val="3"/>
            <c:invertIfNegative val="0"/>
            <c:bubble3D val="0"/>
            <c:spPr>
              <a:solidFill>
                <a:schemeClr val="accent2">
                  <a:lumMod val="75000"/>
                </a:schemeClr>
              </a:solidFill>
              <a:ln>
                <a:solidFill>
                  <a:schemeClr val="bg1">
                    <a:lumMod val="95000"/>
                  </a:schemeClr>
                </a:solidFill>
              </a:ln>
              <a:effectLst/>
            </c:spPr>
            <c:extLst>
              <c:ext xmlns:c16="http://schemas.microsoft.com/office/drawing/2014/chart" uri="{C3380CC4-5D6E-409C-BE32-E72D297353CC}">
                <c16:uniqueId val="{00000094-44EA-4708-8468-8B1B58DEA28C}"/>
              </c:ext>
            </c:extLst>
          </c:dPt>
          <c:dPt>
            <c:idx val="4"/>
            <c:invertIfNegative val="0"/>
            <c:bubble3D val="0"/>
            <c:spPr>
              <a:solidFill>
                <a:schemeClr val="accent4"/>
              </a:solidFill>
              <a:ln>
                <a:solidFill>
                  <a:schemeClr val="accent4"/>
                </a:solidFill>
              </a:ln>
            </c:spPr>
            <c:extLst>
              <c:ext xmlns:c16="http://schemas.microsoft.com/office/drawing/2014/chart" uri="{C3380CC4-5D6E-409C-BE32-E72D297353CC}">
                <c16:uniqueId val="{00000028-A8F5-4591-83F8-6594523964F7}"/>
              </c:ext>
            </c:extLst>
          </c:dPt>
          <c:dLbls>
            <c:spPr>
              <a:noFill/>
              <a:ln>
                <a:noFill/>
              </a:ln>
              <a:effectLst/>
            </c:spPr>
            <c:txPr>
              <a:bodyPr wrap="square" lIns="38100" tIns="19050" rIns="38100" bIns="19050" anchor="ctr">
                <a:spAutoFit/>
              </a:bodyPr>
              <a:lstStyle/>
              <a:p>
                <a:pPr>
                  <a:defRPr sz="90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'Operating Statements'!$A$298:$A$303</c15:sqref>
                  </c15:fullRef>
                </c:ext>
              </c:extLst>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extLst>
                <c:ext xmlns:c15="http://schemas.microsoft.com/office/drawing/2012/chart" uri="{02D57815-91ED-43cb-92C2-25804820EDAC}">
                  <c15:fullRef>
                    <c15:sqref>'Operating Statements'!$C$306:$C$311</c15:sqref>
                  </c15:fullRef>
                </c:ext>
              </c:extLst>
              <c:f>'Operating Statements'!$C$307:$C$311</c:f>
              <c:numCache>
                <c:formatCode>"$"#,##0.00_);[Red]\("$"#,##0.00\)</c:formatCode>
                <c:ptCount val="5"/>
                <c:pt idx="0">
                  <c:v>-0.48460666082974058</c:v>
                </c:pt>
                <c:pt idx="1">
                  <c:v>-0.16688135822045069</c:v>
                </c:pt>
                <c:pt idx="2">
                  <c:v>-0.28730208774658195</c:v>
                </c:pt>
                <c:pt idx="3">
                  <c:v>2.9602363673230343</c:v>
                </c:pt>
                <c:pt idx="4">
                  <c:v>2.9153034020959012</c:v>
                </c:pt>
              </c:numCache>
            </c:numRef>
          </c:val>
          <c:extLst>
            <c:ext xmlns:c16="http://schemas.microsoft.com/office/drawing/2014/chart" uri="{C3380CC4-5D6E-409C-BE32-E72D297353CC}">
              <c16:uniqueId val="{0000008F-44EA-4708-8468-8B1B58DEA28C}"/>
            </c:ext>
          </c:extLst>
        </c:ser>
        <c:ser>
          <c:idx val="4"/>
          <c:order val="1"/>
          <c:tx>
            <c:strRef>
              <c:f>'Operating Statements'!$D$305</c:f>
              <c:strCache>
                <c:ptCount val="1"/>
                <c:pt idx="0">
                  <c:v>10-yr</c:v>
                </c:pt>
              </c:strCache>
            </c:strRef>
          </c:tx>
          <c:spPr>
            <a:solidFill>
              <a:schemeClr val="accent4">
                <a:lumMod val="60000"/>
                <a:lumOff val="40000"/>
              </a:schemeClr>
            </a:solidFill>
            <a:ln>
              <a:solidFill>
                <a:schemeClr val="bg1">
                  <a:lumMod val="95000"/>
                </a:schemeClr>
              </a:solid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97-44EA-4708-8468-8B1B58DEA28C}"/>
              </c:ext>
            </c:extLst>
          </c:dPt>
          <c:dPt>
            <c:idx val="1"/>
            <c:invertIfNegative val="0"/>
            <c:bubble3D val="0"/>
            <c:spPr>
              <a:solidFill>
                <a:schemeClr val="accent1">
                  <a:lumMod val="75000"/>
                </a:schemeClr>
              </a:solidFill>
              <a:ln>
                <a:solidFill>
                  <a:schemeClr val="bg1">
                    <a:lumMod val="95000"/>
                  </a:schemeClr>
                </a:solidFill>
              </a:ln>
              <a:effectLst/>
            </c:spPr>
            <c:extLst>
              <c:ext xmlns:c16="http://schemas.microsoft.com/office/drawing/2014/chart" uri="{C3380CC4-5D6E-409C-BE32-E72D297353CC}">
                <c16:uniqueId val="{00000098-44EA-4708-8468-8B1B58DEA28C}"/>
              </c:ext>
            </c:extLst>
          </c:dPt>
          <c:dPt>
            <c:idx val="2"/>
            <c:invertIfNegative val="0"/>
            <c:bubble3D val="0"/>
            <c:spPr>
              <a:solidFill>
                <a:schemeClr val="accent6">
                  <a:lumMod val="75000"/>
                </a:schemeClr>
              </a:solidFill>
              <a:ln>
                <a:solidFill>
                  <a:schemeClr val="bg1">
                    <a:lumMod val="95000"/>
                  </a:schemeClr>
                </a:solidFill>
              </a:ln>
              <a:effectLst/>
            </c:spPr>
            <c:extLst>
              <c:ext xmlns:c16="http://schemas.microsoft.com/office/drawing/2014/chart" uri="{C3380CC4-5D6E-409C-BE32-E72D297353CC}">
                <c16:uniqueId val="{00000099-44EA-4708-8468-8B1B58DEA28C}"/>
              </c:ext>
            </c:extLst>
          </c:dPt>
          <c:dPt>
            <c:idx val="3"/>
            <c:invertIfNegative val="0"/>
            <c:bubble3D val="0"/>
            <c:spPr>
              <a:solidFill>
                <a:schemeClr val="accent2">
                  <a:lumMod val="75000"/>
                </a:schemeClr>
              </a:solidFill>
              <a:ln>
                <a:solidFill>
                  <a:schemeClr val="bg1">
                    <a:lumMod val="95000"/>
                  </a:schemeClr>
                </a:solidFill>
              </a:ln>
              <a:effectLst/>
            </c:spPr>
            <c:extLst>
              <c:ext xmlns:c16="http://schemas.microsoft.com/office/drawing/2014/chart" uri="{C3380CC4-5D6E-409C-BE32-E72D297353CC}">
                <c16:uniqueId val="{0000009A-44EA-4708-8468-8B1B58DEA28C}"/>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7-A8F5-4591-83F8-6594523964F7}"/>
              </c:ext>
            </c:extLst>
          </c:dPt>
          <c:dLbls>
            <c:spPr>
              <a:noFill/>
              <a:ln>
                <a:noFill/>
              </a:ln>
              <a:effectLst/>
            </c:spPr>
            <c:txPr>
              <a:bodyPr wrap="square" lIns="38100" tIns="19050" rIns="38100" bIns="19050" anchor="ctr">
                <a:spAutoFit/>
              </a:bodyPr>
              <a:lstStyle/>
              <a:p>
                <a:pPr>
                  <a:defRPr sz="90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'Operating Statements'!$A$298:$A$303</c15:sqref>
                  </c15:fullRef>
                </c:ext>
              </c:extLst>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extLst>
                <c:ext xmlns:c15="http://schemas.microsoft.com/office/drawing/2012/chart" uri="{02D57815-91ED-43cb-92C2-25804820EDAC}">
                  <c15:fullRef>
                    <c15:sqref>'Operating Statements'!$E$306:$E$311</c15:sqref>
                  </c15:fullRef>
                </c:ext>
              </c:extLst>
              <c:f>'Operating Statements'!$E$307:$E$311</c:f>
              <c:numCache>
                <c:formatCode>"$"#,##0.00_);[Red]\("$"#,##0.00\)</c:formatCode>
                <c:ptCount val="5"/>
                <c:pt idx="0">
                  <c:v>-1.4698295549191016</c:v>
                </c:pt>
                <c:pt idx="1">
                  <c:v>-0.27831801154854929</c:v>
                </c:pt>
                <c:pt idx="2">
                  <c:v>-11.973278803437211</c:v>
                </c:pt>
                <c:pt idx="3">
                  <c:v>5.7862223027309483</c:v>
                </c:pt>
                <c:pt idx="4">
                  <c:v>4.2568809888319947</c:v>
                </c:pt>
              </c:numCache>
            </c:numRef>
          </c:val>
          <c:extLst>
            <c:ext xmlns:c16="http://schemas.microsoft.com/office/drawing/2014/chart" uri="{C3380CC4-5D6E-409C-BE32-E72D297353CC}">
              <c16:uniqueId val="{00000095-44EA-4708-8468-8B1B58DEA28C}"/>
            </c:ext>
          </c:extLst>
        </c:ser>
        <c:ser>
          <c:idx val="5"/>
          <c:order val="2"/>
          <c:tx>
            <c:strRef>
              <c:f>'Operating Statements'!$F$305</c:f>
              <c:strCache>
                <c:ptCount val="1"/>
                <c:pt idx="0">
                  <c:v>15-yr</c:v>
                </c:pt>
              </c:strCache>
            </c:strRef>
          </c:tx>
          <c:spPr>
            <a:solidFill>
              <a:schemeClr val="accent4">
                <a:lumMod val="60000"/>
                <a:lumOff val="40000"/>
              </a:schemeClr>
            </a:solidFill>
            <a:ln>
              <a:solidFill>
                <a:schemeClr val="bg1">
                  <a:lumMod val="95000"/>
                </a:schemeClr>
              </a:solidFill>
            </a:ln>
            <a:effectLst/>
          </c:spPr>
          <c:invertIfNegative val="0"/>
          <c:dPt>
            <c:idx val="0"/>
            <c:invertIfNegative val="0"/>
            <c:bubble3D val="0"/>
            <c:spPr>
              <a:solidFill>
                <a:srgbClr val="666699"/>
              </a:solidFill>
              <a:ln>
                <a:solidFill>
                  <a:schemeClr val="bg1">
                    <a:lumMod val="95000"/>
                  </a:schemeClr>
                </a:solidFill>
              </a:ln>
              <a:effectLst/>
            </c:spPr>
            <c:extLst>
              <c:ext xmlns:c16="http://schemas.microsoft.com/office/drawing/2014/chart" uri="{C3380CC4-5D6E-409C-BE32-E72D297353CC}">
                <c16:uniqueId val="{0000009D-44EA-4708-8468-8B1B58DEA28C}"/>
              </c:ext>
            </c:extLst>
          </c:dPt>
          <c:dPt>
            <c:idx val="1"/>
            <c:invertIfNegative val="0"/>
            <c:bubble3D val="0"/>
            <c:spPr>
              <a:solidFill>
                <a:schemeClr val="accent1">
                  <a:lumMod val="75000"/>
                </a:schemeClr>
              </a:solidFill>
              <a:ln>
                <a:solidFill>
                  <a:schemeClr val="bg1">
                    <a:lumMod val="95000"/>
                  </a:schemeClr>
                </a:solidFill>
              </a:ln>
              <a:effectLst/>
            </c:spPr>
            <c:extLst>
              <c:ext xmlns:c16="http://schemas.microsoft.com/office/drawing/2014/chart" uri="{C3380CC4-5D6E-409C-BE32-E72D297353CC}">
                <c16:uniqueId val="{0000009E-44EA-4708-8468-8B1B58DEA28C}"/>
              </c:ext>
            </c:extLst>
          </c:dPt>
          <c:dPt>
            <c:idx val="2"/>
            <c:invertIfNegative val="0"/>
            <c:bubble3D val="0"/>
            <c:spPr>
              <a:solidFill>
                <a:schemeClr val="accent6">
                  <a:lumMod val="75000"/>
                </a:schemeClr>
              </a:solidFill>
              <a:ln>
                <a:solidFill>
                  <a:schemeClr val="bg1">
                    <a:lumMod val="95000"/>
                  </a:schemeClr>
                </a:solidFill>
              </a:ln>
              <a:effectLst/>
            </c:spPr>
            <c:extLst>
              <c:ext xmlns:c16="http://schemas.microsoft.com/office/drawing/2014/chart" uri="{C3380CC4-5D6E-409C-BE32-E72D297353CC}">
                <c16:uniqueId val="{0000009F-44EA-4708-8468-8B1B58DEA28C}"/>
              </c:ext>
            </c:extLst>
          </c:dPt>
          <c:dPt>
            <c:idx val="3"/>
            <c:invertIfNegative val="0"/>
            <c:bubble3D val="0"/>
            <c:spPr>
              <a:solidFill>
                <a:schemeClr val="accent2">
                  <a:lumMod val="75000"/>
                </a:schemeClr>
              </a:solidFill>
              <a:ln>
                <a:solidFill>
                  <a:schemeClr val="bg1">
                    <a:lumMod val="95000"/>
                  </a:schemeClr>
                </a:solidFill>
              </a:ln>
              <a:effectLst/>
            </c:spPr>
            <c:extLst>
              <c:ext xmlns:c16="http://schemas.microsoft.com/office/drawing/2014/chart" uri="{C3380CC4-5D6E-409C-BE32-E72D297353CC}">
                <c16:uniqueId val="{000000A0-44EA-4708-8468-8B1B58DEA28C}"/>
              </c:ext>
            </c:extLst>
          </c:dPt>
          <c:dPt>
            <c:idx val="4"/>
            <c:invertIfNegative val="0"/>
            <c:bubble3D val="0"/>
            <c:spPr>
              <a:solidFill>
                <a:schemeClr val="accent4"/>
              </a:solidFill>
              <a:ln>
                <a:solidFill>
                  <a:schemeClr val="bg1">
                    <a:lumMod val="95000"/>
                  </a:schemeClr>
                </a:solidFill>
              </a:ln>
              <a:effectLst/>
            </c:spPr>
            <c:extLst>
              <c:ext xmlns:c16="http://schemas.microsoft.com/office/drawing/2014/chart" uri="{C3380CC4-5D6E-409C-BE32-E72D297353CC}">
                <c16:uniqueId val="{00000026-A8F5-4591-83F8-6594523964F7}"/>
              </c:ext>
            </c:extLst>
          </c:dPt>
          <c:dLbls>
            <c:spPr>
              <a:noFill/>
              <a:ln>
                <a:noFill/>
              </a:ln>
              <a:effectLst/>
            </c:spPr>
            <c:txPr>
              <a:bodyPr wrap="square" lIns="38100" tIns="19050" rIns="38100" bIns="19050" anchor="ctr">
                <a:spAutoFit/>
              </a:bodyPr>
              <a:lstStyle/>
              <a:p>
                <a:pPr>
                  <a:defRPr sz="90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'Operating Statements'!$A$298:$A$303</c15:sqref>
                  </c15:fullRef>
                </c:ext>
              </c:extLst>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extLst>
                <c:ext xmlns:c15="http://schemas.microsoft.com/office/drawing/2012/chart" uri="{02D57815-91ED-43cb-92C2-25804820EDAC}">
                  <c15:fullRef>
                    <c15:sqref>'Operating Statements'!$G$306:$G$311</c15:sqref>
                  </c15:fullRef>
                </c:ext>
              </c:extLst>
              <c:f>'Operating Statements'!$G$307:$G$311</c:f>
              <c:numCache>
                <c:formatCode>"$"#,##0.00_);[Red]\("$"#,##0.00\)</c:formatCode>
                <c:ptCount val="5"/>
                <c:pt idx="0">
                  <c:v>-5.1898954329535627</c:v>
                </c:pt>
                <c:pt idx="1">
                  <c:v>-0.73216958236275786</c:v>
                </c:pt>
                <c:pt idx="2">
                  <c:v>-3.0482166841467233</c:v>
                </c:pt>
                <c:pt idx="3">
                  <c:v>9.2191659588742141</c:v>
                </c:pt>
                <c:pt idx="4">
                  <c:v>6.7774023019275091</c:v>
                </c:pt>
              </c:numCache>
            </c:numRef>
          </c:val>
          <c:extLst>
            <c:ext xmlns:c16="http://schemas.microsoft.com/office/drawing/2014/chart" uri="{C3380CC4-5D6E-409C-BE32-E72D297353CC}">
              <c16:uniqueId val="{0000009B-44EA-4708-8468-8B1B58DEA28C}"/>
            </c:ext>
          </c:extLst>
        </c:ser>
        <c:ser>
          <c:idx val="0"/>
          <c:order val="3"/>
          <c:tx>
            <c:strRef>
              <c:f>'Operating Statements'!$H$305</c:f>
              <c:strCache>
                <c:ptCount val="1"/>
                <c:pt idx="0">
                  <c:v>20-yr</c:v>
                </c:pt>
              </c:strCache>
            </c:strRef>
          </c:tx>
          <c:spPr>
            <a:solidFill>
              <a:schemeClr val="accent4">
                <a:lumMod val="60000"/>
                <a:lumOff val="40000"/>
              </a:schemeClr>
            </a:solidFill>
            <a:ln>
              <a:solidFill>
                <a:schemeClr val="bg1">
                  <a:lumMod val="95000"/>
                </a:schemeClr>
              </a:solid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87-44EA-4708-8468-8B1B58DEA28C}"/>
              </c:ext>
            </c:extLst>
          </c:dPt>
          <c:dPt>
            <c:idx val="1"/>
            <c:invertIfNegative val="0"/>
            <c:bubble3D val="0"/>
            <c:spPr>
              <a:solidFill>
                <a:schemeClr val="accent1">
                  <a:lumMod val="75000"/>
                </a:schemeClr>
              </a:solidFill>
              <a:ln>
                <a:solidFill>
                  <a:schemeClr val="bg1">
                    <a:lumMod val="95000"/>
                  </a:schemeClr>
                </a:solidFill>
              </a:ln>
              <a:effectLst/>
            </c:spPr>
            <c:extLst>
              <c:ext xmlns:c16="http://schemas.microsoft.com/office/drawing/2014/chart" uri="{C3380CC4-5D6E-409C-BE32-E72D297353CC}">
                <c16:uniqueId val="{00000089-44EA-4708-8468-8B1B58DEA28C}"/>
              </c:ext>
            </c:extLst>
          </c:dPt>
          <c:dPt>
            <c:idx val="2"/>
            <c:invertIfNegative val="0"/>
            <c:bubble3D val="0"/>
            <c:spPr>
              <a:solidFill>
                <a:schemeClr val="accent6">
                  <a:lumMod val="75000"/>
                </a:schemeClr>
              </a:solidFill>
              <a:ln>
                <a:solidFill>
                  <a:schemeClr val="bg1">
                    <a:lumMod val="95000"/>
                  </a:schemeClr>
                </a:solidFill>
              </a:ln>
              <a:effectLst/>
            </c:spPr>
            <c:extLst>
              <c:ext xmlns:c16="http://schemas.microsoft.com/office/drawing/2014/chart" uri="{C3380CC4-5D6E-409C-BE32-E72D297353CC}">
                <c16:uniqueId val="{0000008B-44EA-4708-8468-8B1B58DEA28C}"/>
              </c:ext>
            </c:extLst>
          </c:dPt>
          <c:dPt>
            <c:idx val="3"/>
            <c:invertIfNegative val="0"/>
            <c:bubble3D val="0"/>
            <c:spPr>
              <a:solidFill>
                <a:schemeClr val="accent2">
                  <a:lumMod val="75000"/>
                </a:schemeClr>
              </a:solidFill>
              <a:ln>
                <a:solidFill>
                  <a:schemeClr val="bg1">
                    <a:lumMod val="95000"/>
                  </a:schemeClr>
                </a:solidFill>
              </a:ln>
              <a:effectLst/>
            </c:spPr>
            <c:extLst>
              <c:ext xmlns:c16="http://schemas.microsoft.com/office/drawing/2014/chart" uri="{C3380CC4-5D6E-409C-BE32-E72D297353CC}">
                <c16:uniqueId val="{0000008D-44EA-4708-8468-8B1B58DEA28C}"/>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5-A8F5-4591-83F8-6594523964F7}"/>
              </c:ext>
            </c:extLst>
          </c:dPt>
          <c:dLbls>
            <c:spPr>
              <a:noFill/>
              <a:ln>
                <a:noFill/>
              </a:ln>
              <a:effectLst/>
            </c:spPr>
            <c:txPr>
              <a:bodyPr wrap="square" lIns="38100" tIns="19050" rIns="38100" bIns="19050" anchor="ctr">
                <a:spAutoFit/>
              </a:bodyPr>
              <a:lstStyle/>
              <a:p>
                <a:pPr>
                  <a:defRPr sz="90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'Operating Statements'!$A$298:$A$303</c15:sqref>
                  </c15:fullRef>
                </c:ext>
              </c:extLst>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extLst>
                <c:ext xmlns:c15="http://schemas.microsoft.com/office/drawing/2012/chart" uri="{02D57815-91ED-43cb-92C2-25804820EDAC}">
                  <c15:fullRef>
                    <c15:sqref>'Operating Statements'!$I$306:$I$311</c15:sqref>
                  </c15:fullRef>
                </c:ext>
              </c:extLst>
              <c:f>'Operating Statements'!$I$307:$I$311</c:f>
              <c:numCache>
                <c:formatCode>"$"#,##0.00_);[Red]\("$"#,##0.00\)</c:formatCode>
                <c:ptCount val="5"/>
                <c:pt idx="0">
                  <c:v>-11.66370948585427</c:v>
                </c:pt>
                <c:pt idx="1">
                  <c:v>-1.5905203759602955</c:v>
                </c:pt>
                <c:pt idx="2">
                  <c:v>2.1355816705331563</c:v>
                </c:pt>
                <c:pt idx="3">
                  <c:v>9.8189031788767807</c:v>
                </c:pt>
                <c:pt idx="4">
                  <c:v>7.217630573601582</c:v>
                </c:pt>
              </c:numCache>
            </c:numRef>
          </c:val>
          <c:extLst>
            <c:ext xmlns:c16="http://schemas.microsoft.com/office/drawing/2014/chart" uri="{C3380CC4-5D6E-409C-BE32-E72D297353CC}">
              <c16:uniqueId val="{0000008E-44EA-4708-8468-8B1B58DEA28C}"/>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Thousand $</a:t>
                </a:r>
              </a:p>
            </c:rich>
          </c:tx>
          <c:overlay val="0"/>
          <c:spPr>
            <a:noFill/>
            <a:ln>
              <a:noFill/>
            </a:ln>
            <a:effectLst/>
          </c:spPr>
        </c:title>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plotArea>
    <c:plotVisOnly val="1"/>
    <c:dispBlanksAs val="gap"/>
    <c:showDLblsOverMax val="0"/>
  </c:chart>
  <c:spPr>
    <a:solidFill>
      <a:schemeClr val="bg1"/>
    </a:solidFill>
    <a:ln>
      <a:solidFill>
        <a:schemeClr val="bg2">
          <a:lumMod val="90000"/>
        </a:schemeClr>
      </a:solidFill>
    </a:ln>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EUI Per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04314797205168E-2"/>
          <c:y val="0.13024935488743969"/>
          <c:w val="0.88974841287018569"/>
          <c:h val="0.64331398331260092"/>
        </c:manualLayout>
      </c:layout>
      <c:scatterChart>
        <c:scatterStyle val="lineMarker"/>
        <c:varyColors val="0"/>
        <c:ser>
          <c:idx val="4"/>
          <c:order val="0"/>
          <c:tx>
            <c:strRef>
              <c:f>'Operating Statements'!$A$374</c:f>
              <c:strCache>
                <c:ptCount val="1"/>
                <c:pt idx="0">
                  <c:v>Alternative 1</c:v>
                </c:pt>
              </c:strCache>
            </c:strRef>
          </c:tx>
          <c:spPr>
            <a:ln w="28575"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Statements'!$B$374:$V$374</c:f>
              <c:numCache>
                <c:formatCode>0.0</c:formatCode>
                <c:ptCount val="21"/>
                <c:pt idx="0">
                  <c:v>173.25425000000001</c:v>
                </c:pt>
                <c:pt idx="1">
                  <c:v>170.64212499999999</c:v>
                </c:pt>
                <c:pt idx="2">
                  <c:v>169.043375</c:v>
                </c:pt>
                <c:pt idx="3">
                  <c:v>164.67212499999999</c:v>
                </c:pt>
                <c:pt idx="4">
                  <c:v>164.67212499999999</c:v>
                </c:pt>
                <c:pt idx="5">
                  <c:v>166.485375</c:v>
                </c:pt>
                <c:pt idx="6">
                  <c:v>166.485375</c:v>
                </c:pt>
                <c:pt idx="7">
                  <c:v>166.485375</c:v>
                </c:pt>
                <c:pt idx="8">
                  <c:v>131.305375</c:v>
                </c:pt>
                <c:pt idx="9">
                  <c:v>131.305375</c:v>
                </c:pt>
                <c:pt idx="10">
                  <c:v>131.305375</c:v>
                </c:pt>
                <c:pt idx="11">
                  <c:v>132.90462500000001</c:v>
                </c:pt>
                <c:pt idx="12">
                  <c:v>132.90462500000001</c:v>
                </c:pt>
                <c:pt idx="13">
                  <c:v>132.90462500000001</c:v>
                </c:pt>
                <c:pt idx="14">
                  <c:v>132.90462500000001</c:v>
                </c:pt>
                <c:pt idx="15">
                  <c:v>132.90462500000001</c:v>
                </c:pt>
                <c:pt idx="16">
                  <c:v>133.91749999999999</c:v>
                </c:pt>
                <c:pt idx="17">
                  <c:v>135.51625000000001</c:v>
                </c:pt>
                <c:pt idx="18">
                  <c:v>135.51625000000001</c:v>
                </c:pt>
                <c:pt idx="19">
                  <c:v>135.51625000000001</c:v>
                </c:pt>
                <c:pt idx="20">
                  <c:v>135.51625000000001</c:v>
                </c:pt>
              </c:numCache>
            </c:numRef>
          </c:yVal>
          <c:smooth val="0"/>
          <c:extLst>
            <c:ext xmlns:c16="http://schemas.microsoft.com/office/drawing/2014/chart" uri="{C3380CC4-5D6E-409C-BE32-E72D297353CC}">
              <c16:uniqueId val="{00000001-D242-4145-83E0-0A3444570015}"/>
            </c:ext>
          </c:extLst>
        </c:ser>
        <c:ser>
          <c:idx val="5"/>
          <c:order val="1"/>
          <c:tx>
            <c:strRef>
              <c:f>'Operating Statements'!$A$375</c:f>
              <c:strCache>
                <c:ptCount val="1"/>
                <c:pt idx="0">
                  <c:v>Alternative 2</c:v>
                </c:pt>
              </c:strCache>
            </c:strRef>
          </c:tx>
          <c:spPr>
            <a:ln w="28575"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Statements'!$B$375:$V$375</c:f>
              <c:numCache>
                <c:formatCode>0.0</c:formatCode>
                <c:ptCount val="21"/>
                <c:pt idx="0">
                  <c:v>173.25425000000001</c:v>
                </c:pt>
                <c:pt idx="1">
                  <c:v>171.068625</c:v>
                </c:pt>
                <c:pt idx="2">
                  <c:v>169.043375</c:v>
                </c:pt>
                <c:pt idx="3">
                  <c:v>169.043375</c:v>
                </c:pt>
                <c:pt idx="4">
                  <c:v>164.67212499999999</c:v>
                </c:pt>
                <c:pt idx="5">
                  <c:v>164.67212499999999</c:v>
                </c:pt>
                <c:pt idx="6">
                  <c:v>164.67212499999999</c:v>
                </c:pt>
                <c:pt idx="7">
                  <c:v>164.67212499999999</c:v>
                </c:pt>
                <c:pt idx="8">
                  <c:v>158.494125</c:v>
                </c:pt>
                <c:pt idx="9">
                  <c:v>158.494125</c:v>
                </c:pt>
                <c:pt idx="10">
                  <c:v>158.494125</c:v>
                </c:pt>
                <c:pt idx="11">
                  <c:v>159.666875</c:v>
                </c:pt>
                <c:pt idx="12">
                  <c:v>160.09337500000001</c:v>
                </c:pt>
                <c:pt idx="13">
                  <c:v>160.09337500000001</c:v>
                </c:pt>
                <c:pt idx="14">
                  <c:v>160.09337500000001</c:v>
                </c:pt>
                <c:pt idx="15">
                  <c:v>160.09337500000001</c:v>
                </c:pt>
                <c:pt idx="16">
                  <c:v>161.10624999999999</c:v>
                </c:pt>
                <c:pt idx="17">
                  <c:v>162.70500000000001</c:v>
                </c:pt>
                <c:pt idx="18">
                  <c:v>162.70500000000001</c:v>
                </c:pt>
                <c:pt idx="19">
                  <c:v>162.70500000000001</c:v>
                </c:pt>
                <c:pt idx="20">
                  <c:v>162.70500000000001</c:v>
                </c:pt>
              </c:numCache>
            </c:numRef>
          </c:yVal>
          <c:smooth val="0"/>
          <c:extLst>
            <c:ext xmlns:c16="http://schemas.microsoft.com/office/drawing/2014/chart" uri="{C3380CC4-5D6E-409C-BE32-E72D297353CC}">
              <c16:uniqueId val="{00000002-D242-4145-83E0-0A3444570015}"/>
            </c:ext>
          </c:extLst>
        </c:ser>
        <c:ser>
          <c:idx val="6"/>
          <c:order val="2"/>
          <c:tx>
            <c:strRef>
              <c:f>'Operating Statements'!$A$376</c:f>
              <c:strCache>
                <c:ptCount val="1"/>
                <c:pt idx="0">
                  <c:v>Alternative 3</c:v>
                </c:pt>
              </c:strCache>
            </c:strRef>
          </c:tx>
          <c:spPr>
            <a:ln w="28575"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Statements'!$B$376:$V$376</c:f>
              <c:numCache>
                <c:formatCode>0.0</c:formatCode>
                <c:ptCount val="21"/>
                <c:pt idx="0">
                  <c:v>173.25425000000001</c:v>
                </c:pt>
                <c:pt idx="1">
                  <c:v>172.24137500000001</c:v>
                </c:pt>
                <c:pt idx="2">
                  <c:v>174.907625</c:v>
                </c:pt>
                <c:pt idx="3">
                  <c:v>174.907625</c:v>
                </c:pt>
                <c:pt idx="4">
                  <c:v>174.907625</c:v>
                </c:pt>
                <c:pt idx="5">
                  <c:v>170.53637499999999</c:v>
                </c:pt>
                <c:pt idx="6">
                  <c:v>170.53637499999999</c:v>
                </c:pt>
                <c:pt idx="7">
                  <c:v>164.358375</c:v>
                </c:pt>
                <c:pt idx="8">
                  <c:v>164.358375</c:v>
                </c:pt>
                <c:pt idx="9">
                  <c:v>164.358375</c:v>
                </c:pt>
                <c:pt idx="10">
                  <c:v>164.358375</c:v>
                </c:pt>
                <c:pt idx="11">
                  <c:v>164.358375</c:v>
                </c:pt>
                <c:pt idx="12">
                  <c:v>164.358375</c:v>
                </c:pt>
                <c:pt idx="13">
                  <c:v>164.358375</c:v>
                </c:pt>
                <c:pt idx="14">
                  <c:v>164.358375</c:v>
                </c:pt>
                <c:pt idx="15">
                  <c:v>164.358375</c:v>
                </c:pt>
                <c:pt idx="16">
                  <c:v>165.37125</c:v>
                </c:pt>
                <c:pt idx="17">
                  <c:v>162.70500000000001</c:v>
                </c:pt>
                <c:pt idx="18">
                  <c:v>162.70500000000001</c:v>
                </c:pt>
                <c:pt idx="19">
                  <c:v>162.70500000000001</c:v>
                </c:pt>
                <c:pt idx="20">
                  <c:v>162.70500000000001</c:v>
                </c:pt>
              </c:numCache>
            </c:numRef>
          </c:yVal>
          <c:smooth val="0"/>
          <c:extLst>
            <c:ext xmlns:c16="http://schemas.microsoft.com/office/drawing/2014/chart" uri="{C3380CC4-5D6E-409C-BE32-E72D297353CC}">
              <c16:uniqueId val="{00000003-D242-4145-83E0-0A3444570015}"/>
            </c:ext>
          </c:extLst>
        </c:ser>
        <c:ser>
          <c:idx val="0"/>
          <c:order val="3"/>
          <c:tx>
            <c:strRef>
              <c:f>'Operating Statements'!$A$372</c:f>
              <c:strCache>
                <c:ptCount val="1"/>
                <c:pt idx="0">
                  <c:v>Baseline - Reactive Fines</c:v>
                </c:pt>
              </c:strCache>
            </c:strRef>
          </c:tx>
          <c:spPr>
            <a:ln w="28575"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Statements'!$B$372:$V$372</c:f>
              <c:numCache>
                <c:formatCode>0.0</c:formatCode>
                <c:ptCount val="21"/>
                <c:pt idx="0">
                  <c:v>173.25425000000001</c:v>
                </c:pt>
                <c:pt idx="1">
                  <c:v>173.25425000000001</c:v>
                </c:pt>
                <c:pt idx="2">
                  <c:v>171.264002</c:v>
                </c:pt>
                <c:pt idx="3">
                  <c:v>171.264002</c:v>
                </c:pt>
                <c:pt idx="4">
                  <c:v>171.264002</c:v>
                </c:pt>
                <c:pt idx="5">
                  <c:v>171.264002</c:v>
                </c:pt>
                <c:pt idx="6">
                  <c:v>171.264002</c:v>
                </c:pt>
                <c:pt idx="7">
                  <c:v>170.10520149999999</c:v>
                </c:pt>
                <c:pt idx="8">
                  <c:v>170.10520149999999</c:v>
                </c:pt>
                <c:pt idx="9">
                  <c:v>170.10520149999999</c:v>
                </c:pt>
                <c:pt idx="10">
                  <c:v>170.10520149999999</c:v>
                </c:pt>
                <c:pt idx="11">
                  <c:v>170.10520149999999</c:v>
                </c:pt>
                <c:pt idx="12">
                  <c:v>169.789165</c:v>
                </c:pt>
                <c:pt idx="13">
                  <c:v>169.789165</c:v>
                </c:pt>
                <c:pt idx="14">
                  <c:v>169.789165</c:v>
                </c:pt>
                <c:pt idx="15">
                  <c:v>169.789165</c:v>
                </c:pt>
                <c:pt idx="16">
                  <c:v>169.789165</c:v>
                </c:pt>
                <c:pt idx="17">
                  <c:v>169.789165</c:v>
                </c:pt>
                <c:pt idx="18">
                  <c:v>169.789165</c:v>
                </c:pt>
                <c:pt idx="19">
                  <c:v>169.789165</c:v>
                </c:pt>
                <c:pt idx="20">
                  <c:v>169.789165</c:v>
                </c:pt>
              </c:numCache>
            </c:numRef>
          </c:yVal>
          <c:smooth val="0"/>
          <c:extLst>
            <c:ext xmlns:c16="http://schemas.microsoft.com/office/drawing/2014/chart" uri="{C3380CC4-5D6E-409C-BE32-E72D297353CC}">
              <c16:uniqueId val="{00000004-D242-4145-83E0-0A3444570015}"/>
            </c:ext>
          </c:extLst>
        </c:ser>
        <c:ser>
          <c:idx val="1"/>
          <c:order val="4"/>
          <c:tx>
            <c:strRef>
              <c:f>'Operating Statements'!$A$373</c:f>
              <c:strCache>
                <c:ptCount val="1"/>
                <c:pt idx="0">
                  <c:v>Baseline - Offset Based Compliance</c:v>
                </c:pt>
              </c:strCache>
            </c:strRef>
          </c:tx>
          <c:spPr>
            <a:ln w="28575" cap="rnd">
              <a:solidFill>
                <a:schemeClr val="accent5"/>
              </a:solidFill>
              <a:round/>
            </a:ln>
            <a:effectLst/>
          </c:spPr>
          <c:marker>
            <c:symbol val="none"/>
          </c:marker>
          <c:xVal>
            <c:numRef>
              <c:f>'Operating Statements'!$C$383:$V$383</c:f>
              <c:numCache>
                <c:formatCode>0</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'Operating Statements'!$C$373:$V$373</c:f>
              <c:numCache>
                <c:formatCode>0.0</c:formatCode>
                <c:ptCount val="20"/>
                <c:pt idx="0">
                  <c:v>173.25425000000001</c:v>
                </c:pt>
                <c:pt idx="1">
                  <c:v>171.264002</c:v>
                </c:pt>
                <c:pt idx="2">
                  <c:v>171.264002</c:v>
                </c:pt>
                <c:pt idx="3">
                  <c:v>171.264002</c:v>
                </c:pt>
                <c:pt idx="4">
                  <c:v>171.264002</c:v>
                </c:pt>
                <c:pt idx="5">
                  <c:v>171.264002</c:v>
                </c:pt>
                <c:pt idx="6">
                  <c:v>170.10520149999999</c:v>
                </c:pt>
                <c:pt idx="7">
                  <c:v>170.10520149999999</c:v>
                </c:pt>
                <c:pt idx="8">
                  <c:v>170.10520149999999</c:v>
                </c:pt>
                <c:pt idx="9">
                  <c:v>170.10520149999999</c:v>
                </c:pt>
                <c:pt idx="10">
                  <c:v>170.10520149999999</c:v>
                </c:pt>
                <c:pt idx="11">
                  <c:v>169.789165</c:v>
                </c:pt>
                <c:pt idx="12">
                  <c:v>169.789165</c:v>
                </c:pt>
                <c:pt idx="13">
                  <c:v>169.789165</c:v>
                </c:pt>
                <c:pt idx="14">
                  <c:v>169.789165</c:v>
                </c:pt>
                <c:pt idx="15">
                  <c:v>169.789165</c:v>
                </c:pt>
                <c:pt idx="16">
                  <c:v>169.789165</c:v>
                </c:pt>
                <c:pt idx="17">
                  <c:v>169.789165</c:v>
                </c:pt>
                <c:pt idx="18">
                  <c:v>169.789165</c:v>
                </c:pt>
                <c:pt idx="19">
                  <c:v>169.789165</c:v>
                </c:pt>
              </c:numCache>
            </c:numRef>
          </c:yVal>
          <c:smooth val="0"/>
          <c:extLst>
            <c:ext xmlns:c16="http://schemas.microsoft.com/office/drawing/2014/chart" uri="{C3380CC4-5D6E-409C-BE32-E72D297353CC}">
              <c16:uniqueId val="{00000005-D242-4145-83E0-0A3444570015}"/>
            </c:ext>
          </c:extLst>
        </c:ser>
        <c:dLbls>
          <c:showLegendKey val="0"/>
          <c:showVal val="0"/>
          <c:showCatName val="0"/>
          <c:showSerName val="0"/>
          <c:showPercent val="0"/>
          <c:showBubbleSize val="0"/>
        </c:dLbls>
        <c:axId val="518984400"/>
        <c:axId val="518982440"/>
        <c:extLst/>
      </c:scatterChart>
      <c:valAx>
        <c:axId val="518984400"/>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kBTU</a:t>
                </a:r>
                <a:r>
                  <a:rPr lang="en-US" sz="1100" baseline="0"/>
                  <a:t> </a:t>
                </a:r>
                <a:r>
                  <a:rPr lang="en-US" sz="1100"/>
                  <a:t>/ year  / Sq. Ft.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valAx>
      <c:spPr>
        <a:noFill/>
        <a:ln w="28575">
          <a:noFill/>
        </a:ln>
        <a:effectLst/>
      </c:spPr>
    </c:plotArea>
    <c:legend>
      <c:legendPos val="b"/>
      <c:layout>
        <c:manualLayout>
          <c:xMode val="edge"/>
          <c:yMode val="edge"/>
          <c:x val="3.8223133573233085E-2"/>
          <c:y val="0.82063100617933771"/>
          <c:w val="0.90489291258506765"/>
          <c:h val="0.16368977192347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Net Operating Expenses</a:t>
            </a:r>
            <a:r>
              <a:rPr lang="en-US" baseline="0"/>
              <a:t> Per Year</a:t>
            </a:r>
          </a:p>
          <a:p>
            <a:pPr>
              <a:defRPr/>
            </a:pPr>
            <a:endParaRPr lang="en-US" sz="1000">
              <a:effectLst/>
            </a:endParaRPr>
          </a:p>
          <a:p>
            <a:pPr>
              <a:defRPr/>
            </a:pPr>
            <a:r>
              <a:rPr lang="en-US" sz="1000" b="0" i="0" baseline="0">
                <a:effectLst/>
              </a:rPr>
              <a:t>(Note that NOE will reflect the holding period selected.)</a:t>
            </a:r>
            <a:endParaRPr lang="en-US"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731987753624218E-2"/>
          <c:y val="0.15150156656837091"/>
          <c:w val="0.87445733996638819"/>
          <c:h val="0.60826425785327343"/>
        </c:manualLayout>
      </c:layout>
      <c:scatterChart>
        <c:scatterStyle val="lineMarker"/>
        <c:varyColors val="0"/>
        <c:ser>
          <c:idx val="0"/>
          <c:order val="0"/>
          <c:tx>
            <c:strRef>
              <c:f>'Operating Statements'!$A$285</c:f>
              <c:strCache>
                <c:ptCount val="1"/>
                <c:pt idx="0">
                  <c:v>Baseline - Reactive Fines</c:v>
                </c:pt>
              </c:strCache>
            </c:strRef>
          </c:tx>
          <c:spPr>
            <a:ln w="28575"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Statements'!$B$285:$U$285</c:f>
              <c:numCache>
                <c:formatCode>_("$"* #,##0.0_);_("$"* \(#,##0.0\);_("$"* "-"??_);_(@_)</c:formatCode>
                <c:ptCount val="20"/>
                <c:pt idx="0">
                  <c:v>49.405153055555559</c:v>
                </c:pt>
                <c:pt idx="1">
                  <c:v>58.394869481600004</c:v>
                </c:pt>
                <c:pt idx="2">
                  <c:v>52.335463825215996</c:v>
                </c:pt>
                <c:pt idx="3">
                  <c:v>53.934686062744156</c:v>
                </c:pt>
                <c:pt idx="4">
                  <c:v>56.205480573977212</c:v>
                </c:pt>
                <c:pt idx="5">
                  <c:v>57.386284207679353</c:v>
                </c:pt>
                <c:pt idx="6">
                  <c:v>65.98400826421512</c:v>
                </c:pt>
                <c:pt idx="7">
                  <c:v>60.799091962585671</c:v>
                </c:pt>
                <c:pt idx="8">
                  <c:v>62.681709930013383</c:v>
                </c:pt>
                <c:pt idx="9">
                  <c:v>66.120005391568455</c:v>
                </c:pt>
                <c:pt idx="10">
                  <c:v>67.870116204672101</c:v>
                </c:pt>
                <c:pt idx="11">
                  <c:v>74.044119507134823</c:v>
                </c:pt>
                <c:pt idx="12">
                  <c:v>71.545232350193999</c:v>
                </c:pt>
                <c:pt idx="13">
                  <c:v>73.504491512764687</c:v>
                </c:pt>
                <c:pt idx="14">
                  <c:v>79.212387862445894</c:v>
                </c:pt>
                <c:pt idx="15">
                  <c:v>81.322919874377931</c:v>
                </c:pt>
                <c:pt idx="16">
                  <c:v>83.513006350193749</c:v>
                </c:pt>
                <c:pt idx="17">
                  <c:v>85.785389041457421</c:v>
                </c:pt>
                <c:pt idx="18">
                  <c:v>88.142900364681964</c:v>
                </c:pt>
                <c:pt idx="19">
                  <c:v>90.588466211128193</c:v>
                </c:pt>
              </c:numCache>
            </c:numRef>
          </c:yVal>
          <c:smooth val="0"/>
          <c:extLst>
            <c:ext xmlns:c16="http://schemas.microsoft.com/office/drawing/2014/chart" uri="{C3380CC4-5D6E-409C-BE32-E72D297353CC}">
              <c16:uniqueId val="{00000001-9CD0-41AF-BF2E-24392ECC09CA}"/>
            </c:ext>
          </c:extLst>
        </c:ser>
        <c:ser>
          <c:idx val="1"/>
          <c:order val="1"/>
          <c:tx>
            <c:strRef>
              <c:f>'Operating Statements'!$A$287</c:f>
              <c:strCache>
                <c:ptCount val="1"/>
                <c:pt idx="0">
                  <c:v>Baseline - Offset Based Compliance</c:v>
                </c:pt>
              </c:strCache>
            </c:strRef>
          </c:tx>
          <c:spPr>
            <a:ln w="28575" cap="rnd">
              <a:solidFill>
                <a:schemeClr val="accent5"/>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Statements'!$B$287:$U$287</c:f>
              <c:numCache>
                <c:formatCode>_("$"* #,##0.0_);_("$"* \(#,##0.0\);_("$"* "-"??_);_(@_)</c:formatCode>
                <c:ptCount val="20"/>
                <c:pt idx="0">
                  <c:v>49.405153055555559</c:v>
                </c:pt>
                <c:pt idx="1">
                  <c:v>58.394869481600004</c:v>
                </c:pt>
                <c:pt idx="2">
                  <c:v>52.335463825215996</c:v>
                </c:pt>
                <c:pt idx="3">
                  <c:v>54.07686437859612</c:v>
                </c:pt>
                <c:pt idx="4">
                  <c:v>55.65068639667259</c:v>
                </c:pt>
                <c:pt idx="5">
                  <c:v>57.303856000783725</c:v>
                </c:pt>
                <c:pt idx="6">
                  <c:v>65.98400826421512</c:v>
                </c:pt>
                <c:pt idx="7">
                  <c:v>60.799091962585671</c:v>
                </c:pt>
                <c:pt idx="8">
                  <c:v>62.681709930013383</c:v>
                </c:pt>
                <c:pt idx="9">
                  <c:v>64.796891679697978</c:v>
                </c:pt>
                <c:pt idx="10">
                  <c:v>66.780491064944584</c:v>
                </c:pt>
                <c:pt idx="11">
                  <c:v>73.186843272502244</c:v>
                </c:pt>
                <c:pt idx="12">
                  <c:v>70.924019954807108</c:v>
                </c:pt>
                <c:pt idx="13">
                  <c:v>73.112533143857007</c:v>
                </c:pt>
                <c:pt idx="14">
                  <c:v>75.835456421048789</c:v>
                </c:pt>
                <c:pt idx="15">
                  <c:v>78.181943797901098</c:v>
                </c:pt>
                <c:pt idx="16">
                  <c:v>80.606850386520037</c:v>
                </c:pt>
                <c:pt idx="17">
                  <c:v>83.112881941567039</c:v>
                </c:pt>
                <c:pt idx="18">
                  <c:v>85.702833896877181</c:v>
                </c:pt>
                <c:pt idx="19">
                  <c:v>88.379594150225913</c:v>
                </c:pt>
              </c:numCache>
            </c:numRef>
          </c:yVal>
          <c:smooth val="0"/>
          <c:extLst>
            <c:ext xmlns:c16="http://schemas.microsoft.com/office/drawing/2014/chart" uri="{C3380CC4-5D6E-409C-BE32-E72D297353CC}">
              <c16:uniqueId val="{00000002-9CD0-41AF-BF2E-24392ECC09CA}"/>
            </c:ext>
          </c:extLst>
        </c:ser>
        <c:ser>
          <c:idx val="4"/>
          <c:order val="2"/>
          <c:tx>
            <c:strRef>
              <c:f>'Operating Statements'!$A$289</c:f>
              <c:strCache>
                <c:ptCount val="1"/>
                <c:pt idx="0">
                  <c:v>Alternative 1</c:v>
                </c:pt>
              </c:strCache>
            </c:strRef>
          </c:tx>
          <c:spPr>
            <a:ln w="28575"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Statements'!$B$289:$U$289</c:f>
              <c:numCache>
                <c:formatCode>_("$"* #,##0.0_);_("$"* \(#,##0.0\);_("$"* "-"??_);_(@_)</c:formatCode>
                <c:ptCount val="20"/>
                <c:pt idx="0">
                  <c:v>49.945717266081871</c:v>
                </c:pt>
                <c:pt idx="1">
                  <c:v>52.234940963157889</c:v>
                </c:pt>
                <c:pt idx="2">
                  <c:v>55.170508820157892</c:v>
                </c:pt>
                <c:pt idx="3">
                  <c:v>53.606437711098579</c:v>
                </c:pt>
                <c:pt idx="4">
                  <c:v>59.646516122199088</c:v>
                </c:pt>
                <c:pt idx="5">
                  <c:v>57.081979804957903</c:v>
                </c:pt>
                <c:pt idx="6">
                  <c:v>58.838124423125848</c:v>
                </c:pt>
                <c:pt idx="7">
                  <c:v>90.277742613219374</c:v>
                </c:pt>
                <c:pt idx="8">
                  <c:v>60.300719858296965</c:v>
                </c:pt>
                <c:pt idx="9">
                  <c:v>62.192370711972771</c:v>
                </c:pt>
                <c:pt idx="10">
                  <c:v>64.25959658030088</c:v>
                </c:pt>
                <c:pt idx="11">
                  <c:v>66.282730295346468</c:v>
                </c:pt>
                <c:pt idx="12">
                  <c:v>68.374204380755131</c:v>
                </c:pt>
                <c:pt idx="13">
                  <c:v>70.536390349507712</c:v>
                </c:pt>
                <c:pt idx="14">
                  <c:v>72.91002684973688</c:v>
                </c:pt>
                <c:pt idx="15">
                  <c:v>75.282066220460024</c:v>
                </c:pt>
                <c:pt idx="16">
                  <c:v>77.767266840126183</c:v>
                </c:pt>
                <c:pt idx="17">
                  <c:v>80.234663699872371</c:v>
                </c:pt>
                <c:pt idx="18">
                  <c:v>82.776958468908873</c:v>
                </c:pt>
                <c:pt idx="19">
                  <c:v>85.405370714304027</c:v>
                </c:pt>
              </c:numCache>
            </c:numRef>
          </c:yVal>
          <c:smooth val="0"/>
          <c:extLst>
            <c:ext xmlns:c16="http://schemas.microsoft.com/office/drawing/2014/chart" uri="{C3380CC4-5D6E-409C-BE32-E72D297353CC}">
              <c16:uniqueId val="{00000003-9CD0-41AF-BF2E-24392ECC09CA}"/>
            </c:ext>
          </c:extLst>
        </c:ser>
        <c:ser>
          <c:idx val="2"/>
          <c:order val="3"/>
          <c:tx>
            <c:strRef>
              <c:f>'Operating Statements'!$A$291</c:f>
              <c:strCache>
                <c:ptCount val="1"/>
                <c:pt idx="0">
                  <c:v>Alternative 2</c:v>
                </c:pt>
              </c:strCache>
            </c:strRef>
          </c:tx>
          <c:spPr>
            <a:ln w="28575"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Statements'!$B$291:$U$291</c:f>
              <c:numCache>
                <c:formatCode>_("$"* #,##0.0_);_("$"* \(#,##0.0\);_("$"* "-"??_);_(@_)</c:formatCode>
                <c:ptCount val="20"/>
                <c:pt idx="0">
                  <c:v>49.773784634502924</c:v>
                </c:pt>
                <c:pt idx="1">
                  <c:v>52.44194096315789</c:v>
                </c:pt>
                <c:pt idx="2">
                  <c:v>52.227336392789468</c:v>
                </c:pt>
                <c:pt idx="3">
                  <c:v>56.943170466789347</c:v>
                </c:pt>
                <c:pt idx="4">
                  <c:v>55.21237768944556</c:v>
                </c:pt>
                <c:pt idx="5">
                  <c:v>56.894001602818868</c:v>
                </c:pt>
                <c:pt idx="6">
                  <c:v>58.650518763803952</c:v>
                </c:pt>
                <c:pt idx="7">
                  <c:v>65.514242359524729</c:v>
                </c:pt>
                <c:pt idx="8">
                  <c:v>62.276971084106378</c:v>
                </c:pt>
                <c:pt idx="9">
                  <c:v>64.226273649138335</c:v>
                </c:pt>
                <c:pt idx="10">
                  <c:v>66.265951291227395</c:v>
                </c:pt>
                <c:pt idx="11">
                  <c:v>68.326251254752819</c:v>
                </c:pt>
                <c:pt idx="12">
                  <c:v>70.440697033344662</c:v>
                </c:pt>
                <c:pt idx="13">
                  <c:v>72.626135141884049</c:v>
                </c:pt>
                <c:pt idx="14">
                  <c:v>75.05083886448287</c:v>
                </c:pt>
                <c:pt idx="15">
                  <c:v>77.443478239510327</c:v>
                </c:pt>
                <c:pt idx="16">
                  <c:v>79.949430949600071</c:v>
                </c:pt>
                <c:pt idx="17">
                  <c:v>82.437731673439743</c:v>
                </c:pt>
                <c:pt idx="18">
                  <c:v>85.001081712898795</c:v>
                </c:pt>
                <c:pt idx="19">
                  <c:v>87.650700210927226</c:v>
                </c:pt>
              </c:numCache>
            </c:numRef>
          </c:yVal>
          <c:smooth val="0"/>
          <c:extLst>
            <c:ext xmlns:c16="http://schemas.microsoft.com/office/drawing/2014/chart" uri="{C3380CC4-5D6E-409C-BE32-E72D297353CC}">
              <c16:uniqueId val="{00000004-9CD0-41AF-BF2E-24392ECC09CA}"/>
            </c:ext>
          </c:extLst>
        </c:ser>
        <c:ser>
          <c:idx val="5"/>
          <c:order val="4"/>
          <c:tx>
            <c:strRef>
              <c:f>'Operating Statements'!$A$293</c:f>
              <c:strCache>
                <c:ptCount val="1"/>
                <c:pt idx="0">
                  <c:v>Alternative 3</c:v>
                </c:pt>
              </c:strCache>
            </c:strRef>
          </c:tx>
          <c:spPr>
            <a:ln w="28575"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Statements'!$B$293:$U$293</c:f>
              <c:numCache>
                <c:formatCode>_("$"* #,##0.0_);_("$"* \(#,##0.0\);_("$"* "-"??_);_(@_)</c:formatCode>
                <c:ptCount val="20"/>
                <c:pt idx="0">
                  <c:v>49.342652002923984</c:v>
                </c:pt>
                <c:pt idx="1">
                  <c:v>51.597034968421056</c:v>
                </c:pt>
                <c:pt idx="2">
                  <c:v>52.628817498105256</c:v>
                </c:pt>
                <c:pt idx="3">
                  <c:v>54.313807568381115</c:v>
                </c:pt>
                <c:pt idx="4">
                  <c:v>59.09005163965184</c:v>
                </c:pt>
                <c:pt idx="5">
                  <c:v>57.313825793752187</c:v>
                </c:pt>
                <c:pt idx="6">
                  <c:v>63.969764013407129</c:v>
                </c:pt>
                <c:pt idx="7">
                  <c:v>60.849338749380813</c:v>
                </c:pt>
                <c:pt idx="8">
                  <c:v>62.705895323190383</c:v>
                </c:pt>
                <c:pt idx="9">
                  <c:v>64.668914001326414</c:v>
                </c:pt>
                <c:pt idx="10">
                  <c:v>66.632110299961411</c:v>
                </c:pt>
                <c:pt idx="11">
                  <c:v>68.660874173160551</c:v>
                </c:pt>
                <c:pt idx="12">
                  <c:v>70.774038565218945</c:v>
                </c:pt>
                <c:pt idx="13">
                  <c:v>72.962810089077053</c:v>
                </c:pt>
                <c:pt idx="14">
                  <c:v>75.394245231993636</c:v>
                </c:pt>
                <c:pt idx="15">
                  <c:v>77.789665924552111</c:v>
                </c:pt>
                <c:pt idx="16">
                  <c:v>79.951531311728871</c:v>
                </c:pt>
                <c:pt idx="17">
                  <c:v>82.437731673439743</c:v>
                </c:pt>
                <c:pt idx="18">
                  <c:v>85.001081712898795</c:v>
                </c:pt>
                <c:pt idx="19">
                  <c:v>87.650700210927226</c:v>
                </c:pt>
              </c:numCache>
            </c:numRef>
          </c:yVal>
          <c:smooth val="0"/>
          <c:extLst>
            <c:ext xmlns:c16="http://schemas.microsoft.com/office/drawing/2014/chart" uri="{C3380CC4-5D6E-409C-BE32-E72D297353CC}">
              <c16:uniqueId val="{00000005-9CD0-41AF-BF2E-24392ECC09CA}"/>
            </c:ext>
          </c:extLst>
        </c:ser>
        <c:dLbls>
          <c:showLegendKey val="0"/>
          <c:showVal val="0"/>
          <c:showCatName val="0"/>
          <c:showSerName val="0"/>
          <c:showPercent val="0"/>
          <c:showBubbleSize val="0"/>
        </c:dLbls>
        <c:axId val="517782272"/>
        <c:axId val="527081256"/>
        <c:extLst/>
      </c:scatterChart>
      <c:valAx>
        <c:axId val="517782272"/>
        <c:scaling>
          <c:orientation val="minMax"/>
          <c:max val="2040"/>
          <c:min val="20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081256"/>
        <c:crosses val="autoZero"/>
        <c:crossBetween val="midCat"/>
        <c:majorUnit val="1"/>
      </c:valAx>
      <c:valAx>
        <c:axId val="527081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_);_(&quot;$&quot;* \(#,##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782272"/>
        <c:crosses val="autoZero"/>
        <c:crossBetween val="midCat"/>
      </c:valAx>
      <c:spPr>
        <a:noFill/>
        <a:ln>
          <a:noFill/>
        </a:ln>
        <a:effectLst/>
      </c:spPr>
    </c:plotArea>
    <c:legend>
      <c:legendPos val="b"/>
      <c:layout>
        <c:manualLayout>
          <c:xMode val="edge"/>
          <c:yMode val="edge"/>
          <c:x val="3.2818787948860784E-2"/>
          <c:y val="0.82674680785276933"/>
          <c:w val="0.92872250848389193"/>
          <c:h val="0.125126020137092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a:t>
            </a:r>
            <a:r>
              <a:rPr lang="en-US" baseline="0"/>
              <a:t> </a:t>
            </a:r>
            <a:r>
              <a:rPr lang="en-US"/>
              <a:t>Carbon Emissions Per Year (With</a:t>
            </a:r>
            <a:r>
              <a:rPr lang="en-US" baseline="0"/>
              <a:t> Offsets)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04314797205168E-2"/>
          <c:y val="0.15062791075455456"/>
          <c:w val="0.88974841287018569"/>
          <c:h val="0.60984602509917385"/>
        </c:manualLayout>
      </c:layout>
      <c:scatterChart>
        <c:scatterStyle val="lineMarker"/>
        <c:varyColors val="0"/>
        <c:ser>
          <c:idx val="4"/>
          <c:order val="0"/>
          <c:tx>
            <c:strRef>
              <c:f>'Operating Statements'!$A$439</c:f>
              <c:strCache>
                <c:ptCount val="1"/>
                <c:pt idx="0">
                  <c:v>Alternative 1</c:v>
                </c:pt>
              </c:strCache>
            </c:strRef>
          </c:tx>
          <c:spPr>
            <a:ln w="28575"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Statements'!$B$439:$V$439</c:f>
              <c:numCache>
                <c:formatCode>0</c:formatCode>
                <c:ptCount val="21"/>
                <c:pt idx="0">
                  <c:v>19156.560851999999</c:v>
                </c:pt>
                <c:pt idx="1">
                  <c:v>18873.817626</c:v>
                </c:pt>
                <c:pt idx="2">
                  <c:v>17952.122490000002</c:v>
                </c:pt>
                <c:pt idx="3">
                  <c:v>13451</c:v>
                </c:pt>
                <c:pt idx="4">
                  <c:v>13451</c:v>
                </c:pt>
                <c:pt idx="5">
                  <c:v>13337.951129999998</c:v>
                </c:pt>
                <c:pt idx="6">
                  <c:v>12311.951130000001</c:v>
                </c:pt>
                <c:pt idx="7">
                  <c:v>11285.951129999999</c:v>
                </c:pt>
                <c:pt idx="8">
                  <c:v>7697.6301299999996</c:v>
                </c:pt>
                <c:pt idx="9">
                  <c:v>6651.6301300000014</c:v>
                </c:pt>
                <c:pt idx="10">
                  <c:v>6128.6301299999996</c:v>
                </c:pt>
                <c:pt idx="11">
                  <c:v>5691.2765500000005</c:v>
                </c:pt>
                <c:pt idx="12">
                  <c:v>5164.2765500000005</c:v>
                </c:pt>
                <c:pt idx="13">
                  <c:v>4637.2765499999996</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09B0-46BA-B69B-0F0F4FDF84F0}"/>
            </c:ext>
          </c:extLst>
        </c:ser>
        <c:ser>
          <c:idx val="5"/>
          <c:order val="1"/>
          <c:tx>
            <c:strRef>
              <c:f>'Operating Statements'!$A$440</c:f>
              <c:strCache>
                <c:ptCount val="1"/>
                <c:pt idx="0">
                  <c:v>Alternative 2</c:v>
                </c:pt>
              </c:strCache>
            </c:strRef>
          </c:tx>
          <c:spPr>
            <a:ln w="28575"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Statements'!$B$440:$V$440</c:f>
              <c:numCache>
                <c:formatCode>0</c:formatCode>
                <c:ptCount val="21"/>
                <c:pt idx="0">
                  <c:v>19156.560851999999</c:v>
                </c:pt>
                <c:pt idx="1">
                  <c:v>18931.610081999999</c:v>
                </c:pt>
                <c:pt idx="2">
                  <c:v>17952.122490000002</c:v>
                </c:pt>
                <c:pt idx="3">
                  <c:v>13451</c:v>
                </c:pt>
                <c:pt idx="4">
                  <c:v>13451</c:v>
                </c:pt>
                <c:pt idx="5">
                  <c:v>13138.183229999999</c:v>
                </c:pt>
                <c:pt idx="6">
                  <c:v>12164.183230000001</c:v>
                </c:pt>
                <c:pt idx="7">
                  <c:v>11190.183229999999</c:v>
                </c:pt>
                <c:pt idx="8">
                  <c:v>9285.8622299999988</c:v>
                </c:pt>
                <c:pt idx="9">
                  <c:v>6855</c:v>
                </c:pt>
                <c:pt idx="10">
                  <c:v>6855</c:v>
                </c:pt>
                <c:pt idx="11">
                  <c:v>6823.5086500000007</c:v>
                </c:pt>
                <c:pt idx="12">
                  <c:v>6202.5086499999998</c:v>
                </c:pt>
                <c:pt idx="13">
                  <c:v>5565.5086499999998</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1-09B0-46BA-B69B-0F0F4FDF84F0}"/>
            </c:ext>
          </c:extLst>
        </c:ser>
        <c:ser>
          <c:idx val="6"/>
          <c:order val="2"/>
          <c:tx>
            <c:strRef>
              <c:f>'Operating Statements'!$A$441</c:f>
              <c:strCache>
                <c:ptCount val="1"/>
                <c:pt idx="0">
                  <c:v>Alternative 3</c:v>
                </c:pt>
              </c:strCache>
            </c:strRef>
          </c:tx>
          <c:spPr>
            <a:ln w="28575"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Statements'!$B$441:$V$441</c:f>
              <c:numCache>
                <c:formatCode>0</c:formatCode>
                <c:ptCount val="21"/>
                <c:pt idx="0">
                  <c:v>19156.560851999999</c:v>
                </c:pt>
                <c:pt idx="1">
                  <c:v>19043.048957999999</c:v>
                </c:pt>
                <c:pt idx="2">
                  <c:v>18653.768909999999</c:v>
                </c:pt>
                <c:pt idx="3">
                  <c:v>13451</c:v>
                </c:pt>
                <c:pt idx="4">
                  <c:v>13451</c:v>
                </c:pt>
                <c:pt idx="5">
                  <c:v>13451</c:v>
                </c:pt>
                <c:pt idx="6">
                  <c:v>12601.829650000001</c:v>
                </c:pt>
                <c:pt idx="7">
                  <c:v>10941.50865</c:v>
                </c:pt>
                <c:pt idx="8">
                  <c:v>9627.5086499999998</c:v>
                </c:pt>
                <c:pt idx="9">
                  <c:v>6855</c:v>
                </c:pt>
                <c:pt idx="10">
                  <c:v>6855</c:v>
                </c:pt>
                <c:pt idx="11">
                  <c:v>6855</c:v>
                </c:pt>
                <c:pt idx="12">
                  <c:v>6342.5086499999998</c:v>
                </c:pt>
                <c:pt idx="13">
                  <c:v>5685.5086499999998</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2-09B0-46BA-B69B-0F0F4FDF84F0}"/>
            </c:ext>
          </c:extLst>
        </c:ser>
        <c:ser>
          <c:idx val="0"/>
          <c:order val="3"/>
          <c:tx>
            <c:strRef>
              <c:f>'Operating Statements'!$A$437</c:f>
              <c:strCache>
                <c:ptCount val="1"/>
                <c:pt idx="0">
                  <c:v>Baseline - Reactive Fines</c:v>
                </c:pt>
              </c:strCache>
            </c:strRef>
          </c:tx>
          <c:spPr>
            <a:ln w="28575"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Statements'!$B$437:$V$437</c:f>
              <c:numCache>
                <c:formatCode>0</c:formatCode>
                <c:ptCount val="21"/>
                <c:pt idx="0">
                  <c:v>19156.560851999999</c:v>
                </c:pt>
                <c:pt idx="1">
                  <c:v>19156.560851999999</c:v>
                </c:pt>
                <c:pt idx="2">
                  <c:v>18042.159735599998</c:v>
                </c:pt>
                <c:pt idx="3">
                  <c:v>16078.015735599998</c:v>
                </c:pt>
                <c:pt idx="4">
                  <c:v>14604.907735600002</c:v>
                </c:pt>
                <c:pt idx="5">
                  <c:v>13622.835735599998</c:v>
                </c:pt>
                <c:pt idx="6">
                  <c:v>12640.763735600001</c:v>
                </c:pt>
                <c:pt idx="7">
                  <c:v>11582.6157356</c:v>
                </c:pt>
                <c:pt idx="8">
                  <c:v>10611.411735599999</c:v>
                </c:pt>
                <c:pt idx="9">
                  <c:v>9640.2077356000009</c:v>
                </c:pt>
                <c:pt idx="10">
                  <c:v>9154.6057355999983</c:v>
                </c:pt>
                <c:pt idx="11">
                  <c:v>8669.0037355999993</c:v>
                </c:pt>
                <c:pt idx="12">
                  <c:v>8173.0277355999997</c:v>
                </c:pt>
                <c:pt idx="13">
                  <c:v>7688.9077355999998</c:v>
                </c:pt>
                <c:pt idx="14">
                  <c:v>7204.7877355999999</c:v>
                </c:pt>
                <c:pt idx="15">
                  <c:v>6720.6677356</c:v>
                </c:pt>
                <c:pt idx="16">
                  <c:v>6236.5477355999992</c:v>
                </c:pt>
                <c:pt idx="17">
                  <c:v>5752.4277355999993</c:v>
                </c:pt>
                <c:pt idx="18">
                  <c:v>5268.3077355999994</c:v>
                </c:pt>
                <c:pt idx="19">
                  <c:v>4784.1877355999995</c:v>
                </c:pt>
                <c:pt idx="20">
                  <c:v>4784.1877355999995</c:v>
                </c:pt>
              </c:numCache>
            </c:numRef>
          </c:yVal>
          <c:smooth val="0"/>
          <c:extLst>
            <c:ext xmlns:c16="http://schemas.microsoft.com/office/drawing/2014/chart" uri="{C3380CC4-5D6E-409C-BE32-E72D297353CC}">
              <c16:uniqueId val="{00000003-09B0-46BA-B69B-0F0F4FDF84F0}"/>
            </c:ext>
          </c:extLst>
        </c:ser>
        <c:ser>
          <c:idx val="1"/>
          <c:order val="4"/>
          <c:tx>
            <c:strRef>
              <c:f>'Operating Statements'!$A$438</c:f>
              <c:strCache>
                <c:ptCount val="1"/>
                <c:pt idx="0">
                  <c:v>Baseline - Offset Based Compliance</c:v>
                </c:pt>
              </c:strCache>
            </c:strRef>
          </c:tx>
          <c:spPr>
            <a:ln w="28575" cap="rnd">
              <a:solidFill>
                <a:schemeClr val="accent5"/>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Statements'!$B$438:$V$438</c:f>
              <c:numCache>
                <c:formatCode>0</c:formatCode>
                <c:ptCount val="21"/>
                <c:pt idx="0">
                  <c:v>19156.560851999999</c:v>
                </c:pt>
                <c:pt idx="1">
                  <c:v>19156.560851999999</c:v>
                </c:pt>
                <c:pt idx="2">
                  <c:v>18042.159735599998</c:v>
                </c:pt>
                <c:pt idx="3">
                  <c:v>13451</c:v>
                </c:pt>
                <c:pt idx="4">
                  <c:v>13451</c:v>
                </c:pt>
                <c:pt idx="5">
                  <c:v>13451</c:v>
                </c:pt>
                <c:pt idx="6">
                  <c:v>12640.763735600001</c:v>
                </c:pt>
                <c:pt idx="7">
                  <c:v>11582.6157356</c:v>
                </c:pt>
                <c:pt idx="8">
                  <c:v>10611.411735599999</c:v>
                </c:pt>
                <c:pt idx="9">
                  <c:v>6855</c:v>
                </c:pt>
                <c:pt idx="10">
                  <c:v>6855</c:v>
                </c:pt>
                <c:pt idx="11">
                  <c:v>6855</c:v>
                </c:pt>
                <c:pt idx="12">
                  <c:v>6855</c:v>
                </c:pt>
                <c:pt idx="13">
                  <c:v>6855</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4-09B0-46BA-B69B-0F0F4FDF84F0}"/>
            </c:ext>
          </c:extLst>
        </c:ser>
        <c:ser>
          <c:idx val="2"/>
          <c:order val="5"/>
          <c:tx>
            <c:v>Emissions Target</c:v>
          </c:tx>
          <c:spPr>
            <a:ln w="28575" cap="rnd">
              <a:solidFill>
                <a:sysClr val="windowText" lastClr="000000"/>
              </a:solidFill>
              <a:prstDash val="sysDash"/>
              <a:round/>
            </a:ln>
            <a:effectLst/>
          </c:spPr>
          <c:marker>
            <c:symbol val="none"/>
          </c:marker>
          <c:xVal>
            <c:numRef>
              <c:f>'Operating Statements'!$E$474:$U$474</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'Operating Statements'!$E$475:$U$475</c:f>
              <c:numCache>
                <c:formatCode>General</c:formatCode>
                <c:ptCount val="17"/>
                <c:pt idx="0">
                  <c:v>13451</c:v>
                </c:pt>
                <c:pt idx="1">
                  <c:v>13451</c:v>
                </c:pt>
                <c:pt idx="2">
                  <c:v>13451</c:v>
                </c:pt>
                <c:pt idx="3">
                  <c:v>13451</c:v>
                </c:pt>
                <c:pt idx="4">
                  <c:v>13451</c:v>
                </c:pt>
                <c:pt idx="5">
                  <c:v>13451</c:v>
                </c:pt>
                <c:pt idx="6">
                  <c:v>6855</c:v>
                </c:pt>
                <c:pt idx="7">
                  <c:v>6855</c:v>
                </c:pt>
                <c:pt idx="8">
                  <c:v>6855</c:v>
                </c:pt>
                <c:pt idx="9">
                  <c:v>6855</c:v>
                </c:pt>
                <c:pt idx="10">
                  <c:v>6855</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5-09B0-46BA-B69B-0F0F4FDF84F0}"/>
            </c:ext>
          </c:extLst>
        </c:ser>
        <c:dLbls>
          <c:showLegendKey val="0"/>
          <c:showVal val="0"/>
          <c:showCatName val="0"/>
          <c:showSerName val="0"/>
          <c:showPercent val="0"/>
          <c:showBubbleSize val="0"/>
        </c:dLbls>
        <c:axId val="518984400"/>
        <c:axId val="518982440"/>
        <c:extLst/>
      </c:scatterChart>
      <c:valAx>
        <c:axId val="518984400"/>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Tons </a:t>
                </a:r>
                <a:r>
                  <a:rPr lang="en-US" sz="1100" b="0" i="0" u="none" strike="noStrike" baseline="0">
                    <a:effectLst/>
                  </a:rPr>
                  <a:t>of C02eq</a:t>
                </a:r>
                <a:r>
                  <a:rPr lang="en-US" sz="1100" baseline="0"/>
                  <a:t> </a:t>
                </a:r>
                <a:r>
                  <a:rPr lang="en-US" sz="1100"/>
                  <a:t>/ 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valAx>
      <c:spPr>
        <a:noFill/>
        <a:ln w="28575">
          <a:noFill/>
        </a:ln>
        <a:effectLst/>
      </c:spPr>
    </c:plotArea>
    <c:legend>
      <c:legendPos val="b"/>
      <c:layout>
        <c:manualLayout>
          <c:xMode val="edge"/>
          <c:yMode val="edge"/>
          <c:x val="3.8223133573233085E-2"/>
          <c:y val="0.82063100617933771"/>
          <c:w val="0.9011603510647227"/>
          <c:h val="0.15682234764512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Annual</a:t>
            </a:r>
            <a:r>
              <a:rPr lang="en-US" baseline="0"/>
              <a:t> </a:t>
            </a:r>
            <a:r>
              <a:rPr lang="en-US"/>
              <a:t>Fines and Offsets Paid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223208258661285E-2"/>
          <c:y val="0.15062791075455456"/>
          <c:w val="0.87852944179226578"/>
          <c:h val="0.62839693319155876"/>
        </c:manualLayout>
      </c:layout>
      <c:scatterChart>
        <c:scatterStyle val="lineMarker"/>
        <c:varyColors val="0"/>
        <c:ser>
          <c:idx val="4"/>
          <c:order val="0"/>
          <c:tx>
            <c:strRef>
              <c:f>'Operating Statements'!$A$416</c:f>
              <c:strCache>
                <c:ptCount val="1"/>
                <c:pt idx="0">
                  <c:v>Alternative 1</c:v>
                </c:pt>
              </c:strCache>
            </c:strRef>
          </c:tx>
          <c:spPr>
            <a:ln w="28575" cap="rnd">
              <a:solidFill>
                <a:schemeClr val="accent6"/>
              </a:solidFill>
              <a:round/>
            </a:ln>
            <a:effectLst/>
          </c:spPr>
          <c:marker>
            <c:symbol val="none"/>
          </c:marker>
          <c:xVal>
            <c:numRef>
              <c:f>'Operating Statements'!$B$413:$V$413</c:f>
              <c:numCache>
                <c:formatCode>0</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'Operating Statements'!$B$416:$V$416</c:f>
              <c:numCache>
                <c:formatCode>"$"#,##0</c:formatCode>
                <c:ptCount val="21"/>
                <c:pt idx="1">
                  <c:v>0</c:v>
                </c:pt>
                <c:pt idx="2">
                  <c:v>0</c:v>
                </c:pt>
                <c:pt idx="3">
                  <c:v>0</c:v>
                </c:pt>
                <c:pt idx="4">
                  <c:v>57427.984439116881</c:v>
                </c:pt>
                <c:pt idx="5">
                  <c:v>18249.992791019326</c:v>
                </c:pt>
                <c:pt idx="6">
                  <c:v>0</c:v>
                </c:pt>
                <c:pt idx="7">
                  <c:v>0</c:v>
                </c:pt>
                <c:pt idx="8">
                  <c:v>0</c:v>
                </c:pt>
                <c:pt idx="9">
                  <c:v>0</c:v>
                </c:pt>
                <c:pt idx="10">
                  <c:v>0</c:v>
                </c:pt>
                <c:pt idx="11">
                  <c:v>0</c:v>
                </c:pt>
                <c:pt idx="12">
                  <c:v>0</c:v>
                </c:pt>
                <c:pt idx="13">
                  <c:v>0</c:v>
                </c:pt>
                <c:pt idx="14">
                  <c:v>0</c:v>
                </c:pt>
                <c:pt idx="15">
                  <c:v>138297.27676002838</c:v>
                </c:pt>
                <c:pt idx="16">
                  <c:v>122976.77063066015</c:v>
                </c:pt>
                <c:pt idx="17">
                  <c:v>108242.15390567388</c:v>
                </c:pt>
                <c:pt idx="18">
                  <c:v>100346.14833722619</c:v>
                </c:pt>
                <c:pt idx="19">
                  <c:v>83414.526061109325</c:v>
                </c:pt>
                <c:pt idx="20">
                  <c:v>65765.500434612899</c:v>
                </c:pt>
              </c:numCache>
            </c:numRef>
          </c:yVal>
          <c:smooth val="0"/>
          <c:extLst>
            <c:ext xmlns:c16="http://schemas.microsoft.com/office/drawing/2014/chart" uri="{C3380CC4-5D6E-409C-BE32-E72D297353CC}">
              <c16:uniqueId val="{00000000-D66F-42EA-A93A-00F8AF0327F1}"/>
            </c:ext>
          </c:extLst>
        </c:ser>
        <c:ser>
          <c:idx val="5"/>
          <c:order val="1"/>
          <c:tx>
            <c:strRef>
              <c:f>'Operating Statements'!$A$417</c:f>
              <c:strCache>
                <c:ptCount val="1"/>
                <c:pt idx="0">
                  <c:v>Alternative 2</c:v>
                </c:pt>
              </c:strCache>
            </c:strRef>
          </c:tx>
          <c:spPr>
            <a:ln w="28575" cap="rnd">
              <a:solidFill>
                <a:schemeClr val="accent2">
                  <a:lumMod val="75000"/>
                </a:schemeClr>
              </a:solidFill>
              <a:round/>
            </a:ln>
            <a:effectLst/>
          </c:spPr>
          <c:marker>
            <c:symbol val="none"/>
          </c:marker>
          <c:xVal>
            <c:numRef>
              <c:f>'Operating Statements'!$B$413:$V$413</c:f>
              <c:numCache>
                <c:formatCode>0</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'Operating Statements'!$B$417:$V$417</c:f>
              <c:numCache>
                <c:formatCode>"$"#,##0</c:formatCode>
                <c:ptCount val="21"/>
                <c:pt idx="1">
                  <c:v>0</c:v>
                </c:pt>
                <c:pt idx="2">
                  <c:v>0</c:v>
                </c:pt>
                <c:pt idx="3">
                  <c:v>0</c:v>
                </c:pt>
                <c:pt idx="4">
                  <c:v>68007.11512988196</c:v>
                </c:pt>
                <c:pt idx="5">
                  <c:v>18249.992791019326</c:v>
                </c:pt>
                <c:pt idx="6">
                  <c:v>0</c:v>
                </c:pt>
                <c:pt idx="7">
                  <c:v>0</c:v>
                </c:pt>
                <c:pt idx="8">
                  <c:v>0</c:v>
                </c:pt>
                <c:pt idx="9">
                  <c:v>0</c:v>
                </c:pt>
                <c:pt idx="10">
                  <c:v>35499.01396081625</c:v>
                </c:pt>
                <c:pt idx="11">
                  <c:v>16532.595809687147</c:v>
                </c:pt>
                <c:pt idx="12">
                  <c:v>0</c:v>
                </c:pt>
                <c:pt idx="13">
                  <c:v>0</c:v>
                </c:pt>
                <c:pt idx="14">
                  <c:v>0</c:v>
                </c:pt>
                <c:pt idx="15">
                  <c:v>165828.09367978995</c:v>
                </c:pt>
                <c:pt idx="16">
                  <c:v>147283.0431998178</c:v>
                </c:pt>
                <c:pt idx="17">
                  <c:v>129183.88802343547</c:v>
                </c:pt>
                <c:pt idx="18">
                  <c:v>117779.03995650829</c:v>
                </c:pt>
                <c:pt idx="19">
                  <c:v>97189.844788325601</c:v>
                </c:pt>
                <c:pt idx="20">
                  <c:v>75729.970197433053</c:v>
                </c:pt>
              </c:numCache>
            </c:numRef>
          </c:yVal>
          <c:smooth val="0"/>
          <c:extLst>
            <c:ext xmlns:c16="http://schemas.microsoft.com/office/drawing/2014/chart" uri="{C3380CC4-5D6E-409C-BE32-E72D297353CC}">
              <c16:uniqueId val="{00000001-D66F-42EA-A93A-00F8AF0327F1}"/>
            </c:ext>
          </c:extLst>
        </c:ser>
        <c:ser>
          <c:idx val="6"/>
          <c:order val="2"/>
          <c:tx>
            <c:strRef>
              <c:f>'Operating Statements'!$A$418</c:f>
              <c:strCache>
                <c:ptCount val="1"/>
                <c:pt idx="0">
                  <c:v>Alternative 3</c:v>
                </c:pt>
              </c:strCache>
            </c:strRef>
          </c:tx>
          <c:spPr>
            <a:ln w="28575" cap="rnd">
              <a:solidFill>
                <a:schemeClr val="accent4"/>
              </a:solidFill>
              <a:round/>
            </a:ln>
            <a:effectLst/>
          </c:spPr>
          <c:marker>
            <c:symbol val="none"/>
          </c:marker>
          <c:xVal>
            <c:numRef>
              <c:f>'Operating Statements'!$B$413:$V$413</c:f>
              <c:numCache>
                <c:formatCode>0</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'Operating Statements'!$B$418:$V$418</c:f>
              <c:numCache>
                <c:formatCode>"$"#,##0</c:formatCode>
                <c:ptCount val="21"/>
                <c:pt idx="1">
                  <c:v>0</c:v>
                </c:pt>
                <c:pt idx="2">
                  <c:v>0</c:v>
                </c:pt>
                <c:pt idx="3">
                  <c:v>0</c:v>
                </c:pt>
                <c:pt idx="4">
                  <c:v>84396.394194803608</c:v>
                </c:pt>
                <c:pt idx="5">
                  <c:v>42942.36469365978</c:v>
                </c:pt>
                <c:pt idx="6">
                  <c:v>4865.8564191136993</c:v>
                </c:pt>
                <c:pt idx="7">
                  <c:v>0</c:v>
                </c:pt>
                <c:pt idx="8">
                  <c:v>0</c:v>
                </c:pt>
                <c:pt idx="9">
                  <c:v>0</c:v>
                </c:pt>
                <c:pt idx="10">
                  <c:v>44447.847646602204</c:v>
                </c:pt>
                <c:pt idx="11">
                  <c:v>24914.381584151997</c:v>
                </c:pt>
                <c:pt idx="12">
                  <c:v>4581.7977401452899</c:v>
                </c:pt>
                <c:pt idx="13">
                  <c:v>0</c:v>
                </c:pt>
                <c:pt idx="14">
                  <c:v>0</c:v>
                </c:pt>
                <c:pt idx="15">
                  <c:v>169192.76452560027</c:v>
                </c:pt>
                <c:pt idx="16">
                  <c:v>150028.614609999</c:v>
                </c:pt>
                <c:pt idx="17">
                  <c:v>131284.25015222412</c:v>
                </c:pt>
                <c:pt idx="18">
                  <c:v>117779.03995650829</c:v>
                </c:pt>
                <c:pt idx="19">
                  <c:v>97189.844788325601</c:v>
                </c:pt>
                <c:pt idx="20">
                  <c:v>75729.970197433053</c:v>
                </c:pt>
              </c:numCache>
            </c:numRef>
          </c:yVal>
          <c:smooth val="0"/>
          <c:extLst>
            <c:ext xmlns:c16="http://schemas.microsoft.com/office/drawing/2014/chart" uri="{C3380CC4-5D6E-409C-BE32-E72D297353CC}">
              <c16:uniqueId val="{00000002-D66F-42EA-A93A-00F8AF0327F1}"/>
            </c:ext>
          </c:extLst>
        </c:ser>
        <c:ser>
          <c:idx val="0"/>
          <c:order val="3"/>
          <c:tx>
            <c:strRef>
              <c:f>'Operating Statements'!$A$414</c:f>
              <c:strCache>
                <c:ptCount val="1"/>
                <c:pt idx="0">
                  <c:v>Baseline - Reactive Fines</c:v>
                </c:pt>
              </c:strCache>
            </c:strRef>
          </c:tx>
          <c:spPr>
            <a:ln w="28575" cap="rnd">
              <a:solidFill>
                <a:srgbClr val="666699"/>
              </a:solidFill>
              <a:round/>
            </a:ln>
            <a:effectLst/>
          </c:spPr>
          <c:marker>
            <c:symbol val="none"/>
          </c:marker>
          <c:xVal>
            <c:numRef>
              <c:f>'Operating Statements'!$B$413:$V$413</c:f>
              <c:numCache>
                <c:formatCode>0</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'Operating Statements'!$B$414:$V$414</c:f>
              <c:numCache>
                <c:formatCode>"$"#,##0</c:formatCode>
                <c:ptCount val="21"/>
                <c:pt idx="1">
                  <c:v>0</c:v>
                </c:pt>
                <c:pt idx="2">
                  <c:v>0</c:v>
                </c:pt>
                <c:pt idx="3">
                  <c:v>0</c:v>
                </c:pt>
                <c:pt idx="4">
                  <c:v>0</c:v>
                </c:pt>
                <c:pt idx="5">
                  <c:v>309247.27314080042</c:v>
                </c:pt>
                <c:pt idx="6">
                  <c:v>46051.977140799427</c:v>
                </c:pt>
                <c:pt idx="7">
                  <c:v>0</c:v>
                </c:pt>
                <c:pt idx="8">
                  <c:v>0</c:v>
                </c:pt>
                <c:pt idx="9">
                  <c:v>0</c:v>
                </c:pt>
                <c:pt idx="10">
                  <c:v>746435.67314080021</c:v>
                </c:pt>
                <c:pt idx="11">
                  <c:v>616294.3371407995</c:v>
                </c:pt>
                <c:pt idx="12">
                  <c:v>486153.00114079984</c:v>
                </c:pt>
                <c:pt idx="13">
                  <c:v>353231.43314079993</c:v>
                </c:pt>
                <c:pt idx="14">
                  <c:v>223487.27314079995</c:v>
                </c:pt>
                <c:pt idx="15">
                  <c:v>1930883.1131408</c:v>
                </c:pt>
                <c:pt idx="16">
                  <c:v>1801138.9531407999</c:v>
                </c:pt>
                <c:pt idx="17">
                  <c:v>1671394.7931407997</c:v>
                </c:pt>
                <c:pt idx="18">
                  <c:v>1541650.6331407998</c:v>
                </c:pt>
                <c:pt idx="19">
                  <c:v>1411906.4731407999</c:v>
                </c:pt>
                <c:pt idx="20">
                  <c:v>1282162.3131408</c:v>
                </c:pt>
              </c:numCache>
            </c:numRef>
          </c:yVal>
          <c:smooth val="0"/>
          <c:extLst>
            <c:ext xmlns:c16="http://schemas.microsoft.com/office/drawing/2014/chart" uri="{C3380CC4-5D6E-409C-BE32-E72D297353CC}">
              <c16:uniqueId val="{00000003-D66F-42EA-A93A-00F8AF0327F1}"/>
            </c:ext>
          </c:extLst>
        </c:ser>
        <c:ser>
          <c:idx val="1"/>
          <c:order val="4"/>
          <c:tx>
            <c:strRef>
              <c:f>'Operating Statements'!$A$415</c:f>
              <c:strCache>
                <c:ptCount val="1"/>
                <c:pt idx="0">
                  <c:v>Baseline - Offset Based Compliance</c:v>
                </c:pt>
              </c:strCache>
            </c:strRef>
          </c:tx>
          <c:spPr>
            <a:ln w="28575" cap="rnd">
              <a:solidFill>
                <a:schemeClr val="accent5"/>
              </a:solidFill>
              <a:round/>
            </a:ln>
            <a:effectLst/>
          </c:spPr>
          <c:marker>
            <c:symbol val="none"/>
          </c:marker>
          <c:xVal>
            <c:numRef>
              <c:f>'Operating Statements'!$B$413:$V$413</c:f>
              <c:numCache>
                <c:formatCode>0</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'Operating Statements'!$B$415:$V$415</c:f>
              <c:numCache>
                <c:formatCode>"$"#,##0</c:formatCode>
                <c:ptCount val="21"/>
                <c:pt idx="1">
                  <c:v>0</c:v>
                </c:pt>
                <c:pt idx="2">
                  <c:v>0</c:v>
                </c:pt>
                <c:pt idx="3">
                  <c:v>0</c:v>
                </c:pt>
                <c:pt idx="4">
                  <c:v>71089.157925987369</c:v>
                </c:pt>
                <c:pt idx="5">
                  <c:v>31850.184488498577</c:v>
                </c:pt>
                <c:pt idx="6">
                  <c:v>4837.8736929825664</c:v>
                </c:pt>
                <c:pt idx="7">
                  <c:v>0</c:v>
                </c:pt>
                <c:pt idx="8">
                  <c:v>0</c:v>
                </c:pt>
                <c:pt idx="9">
                  <c:v>0</c:v>
                </c:pt>
                <c:pt idx="10">
                  <c:v>84878.817205565851</c:v>
                </c:pt>
                <c:pt idx="11">
                  <c:v>71481.767277050574</c:v>
                </c:pt>
                <c:pt idx="12">
                  <c:v>57514.883824512595</c:v>
                </c:pt>
                <c:pt idx="13">
                  <c:v>42625.235447354062</c:v>
                </c:pt>
                <c:pt idx="14">
                  <c:v>27508.088686951207</c:v>
                </c:pt>
                <c:pt idx="15">
                  <c:v>242417.39244225094</c:v>
                </c:pt>
                <c:pt idx="16">
                  <c:v>230650.91490238433</c:v>
                </c:pt>
                <c:pt idx="17">
                  <c:v>218316.81130394607</c:v>
                </c:pt>
                <c:pt idx="18">
                  <c:v>205397.08319560933</c:v>
                </c:pt>
                <c:pt idx="19">
                  <c:v>191873.23923841759</c:v>
                </c:pt>
                <c:pt idx="20">
                  <c:v>177726.28268965994</c:v>
                </c:pt>
              </c:numCache>
            </c:numRef>
          </c:yVal>
          <c:smooth val="0"/>
          <c:extLst>
            <c:ext xmlns:c16="http://schemas.microsoft.com/office/drawing/2014/chart" uri="{C3380CC4-5D6E-409C-BE32-E72D297353CC}">
              <c16:uniqueId val="{00000004-D66F-42EA-A93A-00F8AF0327F1}"/>
            </c:ext>
          </c:extLst>
        </c:ser>
        <c:dLbls>
          <c:showLegendKey val="0"/>
          <c:showVal val="0"/>
          <c:showCatName val="0"/>
          <c:showSerName val="0"/>
          <c:showPercent val="0"/>
          <c:showBubbleSize val="0"/>
        </c:dLbls>
        <c:axId val="518984400"/>
        <c:axId val="518982440"/>
        <c:extLst/>
      </c:scatterChart>
      <c:valAx>
        <c:axId val="518984400"/>
        <c:scaling>
          <c:orientation val="minMax"/>
          <c:max val="2040"/>
          <c:min val="20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Thousand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dispUnits>
          <c:builtInUnit val="thousands"/>
        </c:dispUnits>
      </c:valAx>
      <c:spPr>
        <a:noFill/>
        <a:ln w="28575">
          <a:noFill/>
        </a:ln>
        <a:effectLst/>
      </c:spPr>
    </c:plotArea>
    <c:legend>
      <c:legendPos val="b"/>
      <c:layout>
        <c:manualLayout>
          <c:xMode val="edge"/>
          <c:yMode val="edge"/>
          <c:x val="3.8223133573233085E-2"/>
          <c:y val="0.82063100617933771"/>
          <c:w val="0.88875671856468763"/>
          <c:h val="0.16368977192347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NPV of Alternatives - Owner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01-6416-489A-9884-4E4AD4279E4C}"/>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6416-489A-9884-4E4AD4279E4C}"/>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6416-489A-9884-4E4AD4279E4C}"/>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7-6416-489A-9884-4E4AD4279E4C}"/>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9-6416-489A-9884-4E4AD4279E4C}"/>
              </c:ext>
            </c:extLst>
          </c:dPt>
          <c:cat>
            <c:strRef>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f>'Operating Statements'!$N$307:$N$311</c:f>
              <c:numCache>
                <c:formatCode>"$"#,##0.00_);[Red]\("$"#,##0.00\)</c:formatCode>
                <c:ptCount val="5"/>
                <c:pt idx="0">
                  <c:v>-11.66370948585427</c:v>
                </c:pt>
                <c:pt idx="1">
                  <c:v>-1.5905203759602955</c:v>
                </c:pt>
                <c:pt idx="2">
                  <c:v>-2.346736485915244</c:v>
                </c:pt>
                <c:pt idx="3">
                  <c:v>3.9879135760072586</c:v>
                </c:pt>
                <c:pt idx="4">
                  <c:v>2.1720993947240004</c:v>
                </c:pt>
              </c:numCache>
            </c:numRef>
          </c:val>
          <c:extLst>
            <c:ext xmlns:c16="http://schemas.microsoft.com/office/drawing/2014/chart" uri="{C3380CC4-5D6E-409C-BE32-E72D297353CC}">
              <c16:uniqueId val="{0000000A-6416-489A-9884-4E4AD4279E4C}"/>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NPV of Alternatives - Tenants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01-5D99-435B-9D9B-94116792C4ED}"/>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5D99-435B-9D9B-94116792C4ED}"/>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5D99-435B-9D9B-94116792C4ED}"/>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7-5D99-435B-9D9B-94116792C4ED}"/>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9-5D99-435B-9D9B-94116792C4ED}"/>
              </c:ext>
            </c:extLst>
          </c:dPt>
          <c:cat>
            <c:strRef>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f>'Operating Statements'!$S$307:$S$311</c:f>
              <c:numCache>
                <c:formatCode>"$"#,##0.00_);[Red]\("$"#,##0.00\)</c:formatCode>
                <c:ptCount val="5"/>
                <c:pt idx="0">
                  <c:v>0</c:v>
                </c:pt>
                <c:pt idx="1">
                  <c:v>0</c:v>
                </c:pt>
                <c:pt idx="2">
                  <c:v>4.482318156448466</c:v>
                </c:pt>
                <c:pt idx="3">
                  <c:v>5.8309896028695993</c:v>
                </c:pt>
                <c:pt idx="4">
                  <c:v>5.0455311788776651</c:v>
                </c:pt>
              </c:numCache>
            </c:numRef>
          </c:val>
          <c:extLst>
            <c:ext xmlns:c16="http://schemas.microsoft.com/office/drawing/2014/chart" uri="{C3380CC4-5D6E-409C-BE32-E72D297353CC}">
              <c16:uniqueId val="{0000000A-5D99-435B-9D9B-94116792C4ED}"/>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Net Operating Income</a:t>
            </a:r>
            <a:r>
              <a:rPr lang="en-US" baseline="0"/>
              <a:t> (</a:t>
            </a:r>
            <a:r>
              <a:rPr lang="en-US"/>
              <a:t>NOI) </a:t>
            </a:r>
            <a:r>
              <a:rPr lang="en-US" baseline="0"/>
              <a:t>Per Year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89788591532226E-2"/>
          <c:y val="0.12672359291811605"/>
          <c:w val="0.86549960749036059"/>
          <c:h val="0.65091856843175899"/>
        </c:manualLayout>
      </c:layout>
      <c:scatterChart>
        <c:scatterStyle val="lineMarker"/>
        <c:varyColors val="0"/>
        <c:ser>
          <c:idx val="0"/>
          <c:order val="0"/>
          <c:tx>
            <c:strRef>
              <c:f>'Operating Statements'!$A$270</c:f>
              <c:strCache>
                <c:ptCount val="1"/>
                <c:pt idx="0">
                  <c:v>Baseline - Reactive Fines</c:v>
                </c:pt>
              </c:strCache>
            </c:strRef>
          </c:tx>
          <c:spPr>
            <a:ln w="28575" cap="rnd">
              <a:solidFill>
                <a:srgbClr val="666699"/>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Statements'!$B$270:$U$270</c:f>
              <c:numCache>
                <c:formatCode>_("$"* #,##0.0_);_("$"* \(#,##0.0\);_("$"* "-"??_);_(@_)</c:formatCode>
                <c:ptCount val="20"/>
                <c:pt idx="0">
                  <c:v>68.589108055555556</c:v>
                </c:pt>
                <c:pt idx="1">
                  <c:v>63.729130518399998</c:v>
                </c:pt>
                <c:pt idx="2">
                  <c:v>74.06283617478401</c:v>
                </c:pt>
                <c:pt idx="3">
                  <c:v>76.88761393725585</c:v>
                </c:pt>
                <c:pt idx="4">
                  <c:v>79.195619426022802</c:v>
                </c:pt>
                <c:pt idx="5">
                  <c:v>82.753815792320637</c:v>
                </c:pt>
                <c:pt idx="6">
                  <c:v>79.061091735784885</c:v>
                </c:pt>
                <c:pt idx="7">
                  <c:v>89.322508037414323</c:v>
                </c:pt>
                <c:pt idx="8">
                  <c:v>92.694190069986618</c:v>
                </c:pt>
                <c:pt idx="9">
                  <c:v>94.693994608431552</c:v>
                </c:pt>
                <c:pt idx="10">
                  <c:v>98.572383795327909</c:v>
                </c:pt>
                <c:pt idx="11">
                  <c:v>98.223880492865177</c:v>
                </c:pt>
                <c:pt idx="12">
                  <c:v>106.75206764980601</c:v>
                </c:pt>
                <c:pt idx="13">
                  <c:v>111.03320848723531</c:v>
                </c:pt>
                <c:pt idx="14">
                  <c:v>111.7841121375541</c:v>
                </c:pt>
                <c:pt idx="15">
                  <c:v>116.35848012562207</c:v>
                </c:pt>
                <c:pt idx="16">
                  <c:v>121.08719364980625</c:v>
                </c:pt>
                <c:pt idx="17">
                  <c:v>125.97581095854258</c:v>
                </c:pt>
                <c:pt idx="18">
                  <c:v>131.02999963531803</c:v>
                </c:pt>
                <c:pt idx="19">
                  <c:v>136.25553378887182</c:v>
                </c:pt>
              </c:numCache>
            </c:numRef>
          </c:yVal>
          <c:smooth val="0"/>
          <c:extLst>
            <c:ext xmlns:c16="http://schemas.microsoft.com/office/drawing/2014/chart" uri="{C3380CC4-5D6E-409C-BE32-E72D297353CC}">
              <c16:uniqueId val="{00000000-92AA-4A2A-BBA0-00E4E119589E}"/>
            </c:ext>
          </c:extLst>
        </c:ser>
        <c:ser>
          <c:idx val="1"/>
          <c:order val="1"/>
          <c:tx>
            <c:strRef>
              <c:f>'Operating Statements'!$A$272</c:f>
              <c:strCache>
                <c:ptCount val="1"/>
                <c:pt idx="0">
                  <c:v>Baseline - Offset Based Compliance</c:v>
                </c:pt>
              </c:strCache>
            </c:strRef>
          </c:tx>
          <c:spPr>
            <a:ln w="28575" cap="rnd">
              <a:solidFill>
                <a:schemeClr val="accent5"/>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Statements'!$B$272:$U$272</c:f>
              <c:numCache>
                <c:formatCode>_("$"* #,##0.0_);_("$"* \(#,##0.0\);_("$"* "-"??_);_(@_)</c:formatCode>
                <c:ptCount val="20"/>
                <c:pt idx="0">
                  <c:v>68.589108055555556</c:v>
                </c:pt>
                <c:pt idx="1">
                  <c:v>63.729130518399998</c:v>
                </c:pt>
                <c:pt idx="2">
                  <c:v>74.06283617478401</c:v>
                </c:pt>
                <c:pt idx="3">
                  <c:v>76.745435621403871</c:v>
                </c:pt>
                <c:pt idx="4">
                  <c:v>79.750413603327402</c:v>
                </c:pt>
                <c:pt idx="5">
                  <c:v>82.836243999216279</c:v>
                </c:pt>
                <c:pt idx="6">
                  <c:v>79.061091735784885</c:v>
                </c:pt>
                <c:pt idx="7">
                  <c:v>89.322508037414323</c:v>
                </c:pt>
                <c:pt idx="8">
                  <c:v>92.694190069986618</c:v>
                </c:pt>
                <c:pt idx="9">
                  <c:v>96.017108320302029</c:v>
                </c:pt>
                <c:pt idx="10">
                  <c:v>99.662008935055411</c:v>
                </c:pt>
                <c:pt idx="11">
                  <c:v>99.081156727497756</c:v>
                </c:pt>
                <c:pt idx="12">
                  <c:v>107.3732800451929</c:v>
                </c:pt>
                <c:pt idx="13">
                  <c:v>111.42516685614299</c:v>
                </c:pt>
                <c:pt idx="14">
                  <c:v>115.16104357895121</c:v>
                </c:pt>
                <c:pt idx="15">
                  <c:v>119.49945620209891</c:v>
                </c:pt>
                <c:pt idx="16">
                  <c:v>123.99334961347996</c:v>
                </c:pt>
                <c:pt idx="17">
                  <c:v>128.64831805843298</c:v>
                </c:pt>
                <c:pt idx="18">
                  <c:v>133.4700661031228</c:v>
                </c:pt>
                <c:pt idx="19">
                  <c:v>138.4644058497741</c:v>
                </c:pt>
              </c:numCache>
            </c:numRef>
          </c:yVal>
          <c:smooth val="0"/>
          <c:extLst>
            <c:ext xmlns:c16="http://schemas.microsoft.com/office/drawing/2014/chart" uri="{C3380CC4-5D6E-409C-BE32-E72D297353CC}">
              <c16:uniqueId val="{00000001-92AA-4A2A-BBA0-00E4E119589E}"/>
            </c:ext>
          </c:extLst>
        </c:ser>
        <c:ser>
          <c:idx val="4"/>
          <c:order val="2"/>
          <c:tx>
            <c:strRef>
              <c:f>'Operating Statements'!$A$274</c:f>
              <c:strCache>
                <c:ptCount val="1"/>
                <c:pt idx="0">
                  <c:v>Alternative 1</c:v>
                </c:pt>
              </c:strCache>
            </c:strRef>
          </c:tx>
          <c:spPr>
            <a:ln w="28575" cap="rnd">
              <a:solidFill>
                <a:schemeClr val="accent6"/>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Statements'!$B$274:$U$274</c:f>
              <c:numCache>
                <c:formatCode>_("$"* #,##0.0_);_("$"* \(#,##0.0\);_("$"* "-"??_);_(@_)</c:formatCode>
                <c:ptCount val="20"/>
                <c:pt idx="0">
                  <c:v>68.048543845029243</c:v>
                </c:pt>
                <c:pt idx="1">
                  <c:v>69.889059036842113</c:v>
                </c:pt>
                <c:pt idx="2">
                  <c:v>71.227791179842114</c:v>
                </c:pt>
                <c:pt idx="3">
                  <c:v>77.21586228890142</c:v>
                </c:pt>
                <c:pt idx="4">
                  <c:v>75.754583877800911</c:v>
                </c:pt>
                <c:pt idx="5">
                  <c:v>83.058120195042108</c:v>
                </c:pt>
                <c:pt idx="6">
                  <c:v>86.206975576874157</c:v>
                </c:pt>
                <c:pt idx="7">
                  <c:v>59.84385738678062</c:v>
                </c:pt>
                <c:pt idx="8">
                  <c:v>95.075180141703044</c:v>
                </c:pt>
                <c:pt idx="9">
                  <c:v>98.621629288027222</c:v>
                </c:pt>
                <c:pt idx="10">
                  <c:v>102.18290341969913</c:v>
                </c:pt>
                <c:pt idx="11">
                  <c:v>105.98526970465353</c:v>
                </c:pt>
                <c:pt idx="12">
                  <c:v>109.92309561924488</c:v>
                </c:pt>
                <c:pt idx="13">
                  <c:v>114.00130965049227</c:v>
                </c:pt>
                <c:pt idx="14">
                  <c:v>118.08647315026312</c:v>
                </c:pt>
                <c:pt idx="15">
                  <c:v>122.39933377953997</c:v>
                </c:pt>
                <c:pt idx="16">
                  <c:v>126.83293315987382</c:v>
                </c:pt>
                <c:pt idx="17">
                  <c:v>131.52653630012762</c:v>
                </c:pt>
                <c:pt idx="18">
                  <c:v>136.39594153109113</c:v>
                </c:pt>
                <c:pt idx="19">
                  <c:v>141.43862928569598</c:v>
                </c:pt>
              </c:numCache>
            </c:numRef>
          </c:yVal>
          <c:smooth val="0"/>
          <c:extLst>
            <c:ext xmlns:c16="http://schemas.microsoft.com/office/drawing/2014/chart" uri="{C3380CC4-5D6E-409C-BE32-E72D297353CC}">
              <c16:uniqueId val="{00000002-92AA-4A2A-BBA0-00E4E119589E}"/>
            </c:ext>
          </c:extLst>
        </c:ser>
        <c:ser>
          <c:idx val="2"/>
          <c:order val="3"/>
          <c:tx>
            <c:strRef>
              <c:f>'Operating Statements'!$A$276</c:f>
              <c:strCache>
                <c:ptCount val="1"/>
                <c:pt idx="0">
                  <c:v>Alternative 2</c:v>
                </c:pt>
              </c:strCache>
            </c:strRef>
          </c:tx>
          <c:spPr>
            <a:ln w="28575" cap="rnd">
              <a:solidFill>
                <a:schemeClr val="accent2">
                  <a:lumMod val="75000"/>
                </a:schemeClr>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Statements'!$B$276:$U$276</c:f>
              <c:numCache>
                <c:formatCode>_("$"* #,##0.0_);_("$"* \(#,##0.0\);_("$"* "-"??_);_(@_)</c:formatCode>
                <c:ptCount val="20"/>
                <c:pt idx="0">
                  <c:v>68.220476476608184</c:v>
                </c:pt>
                <c:pt idx="1">
                  <c:v>69.682059036842105</c:v>
                </c:pt>
                <c:pt idx="2">
                  <c:v>74.170963607210538</c:v>
                </c:pt>
                <c:pt idx="3">
                  <c:v>73.879129533210644</c:v>
                </c:pt>
                <c:pt idx="4">
                  <c:v>80.188722310554439</c:v>
                </c:pt>
                <c:pt idx="5">
                  <c:v>83.246098397181129</c:v>
                </c:pt>
                <c:pt idx="6">
                  <c:v>86.394581236196046</c:v>
                </c:pt>
                <c:pt idx="7">
                  <c:v>84.607357640475271</c:v>
                </c:pt>
                <c:pt idx="8">
                  <c:v>93.098928915893609</c:v>
                </c:pt>
                <c:pt idx="9">
                  <c:v>96.587726350861672</c:v>
                </c:pt>
                <c:pt idx="10">
                  <c:v>100.1765487087726</c:v>
                </c:pt>
                <c:pt idx="11">
                  <c:v>103.94174874524718</c:v>
                </c:pt>
                <c:pt idx="12">
                  <c:v>107.85660296665534</c:v>
                </c:pt>
                <c:pt idx="13">
                  <c:v>111.91156485811595</c:v>
                </c:pt>
                <c:pt idx="14">
                  <c:v>115.94566113551714</c:v>
                </c:pt>
                <c:pt idx="15">
                  <c:v>120.23792176048967</c:v>
                </c:pt>
                <c:pt idx="16">
                  <c:v>124.65076905039993</c:v>
                </c:pt>
                <c:pt idx="17">
                  <c:v>129.32346832656026</c:v>
                </c:pt>
                <c:pt idx="18">
                  <c:v>134.17181828710122</c:v>
                </c:pt>
                <c:pt idx="19">
                  <c:v>139.19329978907274</c:v>
                </c:pt>
              </c:numCache>
            </c:numRef>
          </c:yVal>
          <c:smooth val="0"/>
          <c:extLst>
            <c:ext xmlns:c16="http://schemas.microsoft.com/office/drawing/2014/chart" uri="{C3380CC4-5D6E-409C-BE32-E72D297353CC}">
              <c16:uniqueId val="{00000003-92AA-4A2A-BBA0-00E4E119589E}"/>
            </c:ext>
          </c:extLst>
        </c:ser>
        <c:ser>
          <c:idx val="5"/>
          <c:order val="4"/>
          <c:tx>
            <c:strRef>
              <c:f>'Operating Statements'!$A$278</c:f>
              <c:strCache>
                <c:ptCount val="1"/>
                <c:pt idx="0">
                  <c:v>Alternative 3</c:v>
                </c:pt>
              </c:strCache>
            </c:strRef>
          </c:tx>
          <c:spPr>
            <a:ln w="28575" cap="rnd">
              <a:solidFill>
                <a:schemeClr val="accent4"/>
              </a:solidFill>
              <a:round/>
            </a:ln>
            <a:effectLst/>
          </c:spPr>
          <c:marker>
            <c:symbol val="none"/>
          </c:marker>
          <c:xVal>
            <c:numRef>
              <c:f>'Operating Statements'!$B$267:$U$267</c:f>
              <c:numCache>
                <c:formatCode>0</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xVal>
          <c:yVal>
            <c:numRef>
              <c:f>'Operating Statements'!$B$278:$U$278</c:f>
              <c:numCache>
                <c:formatCode>_("$"* #,##0.0_);_("$"* \(#,##0.0\);_("$"* "-"??_);_(@_)</c:formatCode>
                <c:ptCount val="20"/>
                <c:pt idx="0">
                  <c:v>68.651609108187145</c:v>
                </c:pt>
                <c:pt idx="1">
                  <c:v>70.526965031578939</c:v>
                </c:pt>
                <c:pt idx="2">
                  <c:v>73.769482501894743</c:v>
                </c:pt>
                <c:pt idx="3">
                  <c:v>76.50849243161889</c:v>
                </c:pt>
                <c:pt idx="4">
                  <c:v>76.311048360348167</c:v>
                </c:pt>
                <c:pt idx="5">
                  <c:v>82.826274206247803</c:v>
                </c:pt>
                <c:pt idx="6">
                  <c:v>81.075335986592876</c:v>
                </c:pt>
                <c:pt idx="7">
                  <c:v>89.272261250619195</c:v>
                </c:pt>
                <c:pt idx="8">
                  <c:v>92.670004676809612</c:v>
                </c:pt>
                <c:pt idx="9">
                  <c:v>96.145085998673594</c:v>
                </c:pt>
                <c:pt idx="10">
                  <c:v>99.810389700038584</c:v>
                </c:pt>
                <c:pt idx="11">
                  <c:v>103.60712582683945</c:v>
                </c:pt>
                <c:pt idx="12">
                  <c:v>107.52326143478106</c:v>
                </c:pt>
                <c:pt idx="13">
                  <c:v>111.57488991092295</c:v>
                </c:pt>
                <c:pt idx="14">
                  <c:v>115.60225476800638</c:v>
                </c:pt>
                <c:pt idx="15">
                  <c:v>119.89173407544789</c:v>
                </c:pt>
                <c:pt idx="16">
                  <c:v>124.64866868827113</c:v>
                </c:pt>
                <c:pt idx="17">
                  <c:v>129.32346832656026</c:v>
                </c:pt>
                <c:pt idx="18">
                  <c:v>134.17181828710122</c:v>
                </c:pt>
                <c:pt idx="19">
                  <c:v>139.19329978907274</c:v>
                </c:pt>
              </c:numCache>
            </c:numRef>
          </c:yVal>
          <c:smooth val="0"/>
          <c:extLst>
            <c:ext xmlns:c16="http://schemas.microsoft.com/office/drawing/2014/chart" uri="{C3380CC4-5D6E-409C-BE32-E72D297353CC}">
              <c16:uniqueId val="{00000004-92AA-4A2A-BBA0-00E4E119589E}"/>
            </c:ext>
          </c:extLst>
        </c:ser>
        <c:dLbls>
          <c:showLegendKey val="0"/>
          <c:showVal val="0"/>
          <c:showCatName val="0"/>
          <c:showSerName val="0"/>
          <c:showPercent val="0"/>
          <c:showBubbleSize val="0"/>
        </c:dLbls>
        <c:axId val="517782272"/>
        <c:axId val="527081256"/>
        <c:extLst/>
      </c:scatterChart>
      <c:valAx>
        <c:axId val="517782272"/>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081256"/>
        <c:crosses val="autoZero"/>
        <c:crossBetween val="midCat"/>
        <c:majorUnit val="1"/>
      </c:valAx>
      <c:valAx>
        <c:axId val="527081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_);_(&quot;$&quot;* \(#,##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782272"/>
        <c:crosses val="autoZero"/>
        <c:crossBetween val="midCat"/>
      </c:valAx>
      <c:spPr>
        <a:noFill/>
        <a:ln>
          <a:noFill/>
        </a:ln>
        <a:effectLst/>
      </c:spPr>
    </c:plotArea>
    <c:legend>
      <c:legendPos val="b"/>
      <c:layout>
        <c:manualLayout>
          <c:xMode val="edge"/>
          <c:yMode val="edge"/>
          <c:x val="3.2818787948860784E-2"/>
          <c:y val="0.86649193410365621"/>
          <c:w val="0.9376585015614799"/>
          <c:h val="8.538085015867738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a:t>
            </a:r>
            <a:r>
              <a:rPr lang="en-US" baseline="0"/>
              <a:t> </a:t>
            </a:r>
            <a:r>
              <a:rPr lang="en-US"/>
              <a:t>NPV of Alternatives - Owner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chemeClr val="bg1">
                  <a:lumMod val="50000"/>
                </a:schemeClr>
              </a:solidFill>
              <a:ln>
                <a:solidFill>
                  <a:srgbClr val="666699"/>
                </a:solidFill>
              </a:ln>
              <a:effectLst/>
            </c:spPr>
            <c:extLst>
              <c:ext xmlns:c16="http://schemas.microsoft.com/office/drawing/2014/chart" uri="{C3380CC4-5D6E-409C-BE32-E72D297353CC}">
                <c16:uniqueId val="{00000001-5420-4E2B-9C32-2B6BA8B77A03}"/>
              </c:ext>
            </c:extLst>
          </c:dPt>
          <c:dPt>
            <c:idx val="1"/>
            <c:invertIfNegative val="0"/>
            <c:bubble3D val="0"/>
            <c:spPr>
              <a:solidFill>
                <a:srgbClr val="666699"/>
              </a:solidFill>
              <a:ln>
                <a:noFill/>
              </a:ln>
              <a:effectLst/>
            </c:spPr>
            <c:extLst>
              <c:ext xmlns:c16="http://schemas.microsoft.com/office/drawing/2014/chart" uri="{C3380CC4-5D6E-409C-BE32-E72D297353CC}">
                <c16:uniqueId val="{00000003-5420-4E2B-9C32-2B6BA8B77A03}"/>
              </c:ext>
            </c:extLst>
          </c:dPt>
          <c:dPt>
            <c:idx val="2"/>
            <c:invertIfNegative val="0"/>
            <c:bubble3D val="0"/>
            <c:spPr>
              <a:solidFill>
                <a:srgbClr val="0070C0"/>
              </a:solidFill>
              <a:ln>
                <a:noFill/>
              </a:ln>
              <a:effectLst/>
            </c:spPr>
            <c:extLst>
              <c:ext xmlns:c16="http://schemas.microsoft.com/office/drawing/2014/chart" uri="{C3380CC4-5D6E-409C-BE32-E72D297353CC}">
                <c16:uniqueId val="{00000005-5420-4E2B-9C32-2B6BA8B77A03}"/>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5420-4E2B-9C32-2B6BA8B77A03}"/>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5420-4E2B-9C32-2B6BA8B77A03}"/>
              </c:ext>
            </c:extLst>
          </c:dPt>
          <c:dPt>
            <c:idx val="5"/>
            <c:invertIfNegative val="0"/>
            <c:bubble3D val="0"/>
            <c:spPr>
              <a:solidFill>
                <a:schemeClr val="accent4"/>
              </a:solidFill>
              <a:ln>
                <a:noFill/>
              </a:ln>
              <a:effectLst/>
            </c:spPr>
            <c:extLst>
              <c:ext xmlns:c16="http://schemas.microsoft.com/office/drawing/2014/chart" uri="{C3380CC4-5D6E-409C-BE32-E72D297353CC}">
                <c16:uniqueId val="{0000001E-5420-4E2B-9C32-2B6BA8B77A03}"/>
              </c:ext>
            </c:extLst>
          </c:dPt>
          <c:cat>
            <c:strRef>
              <c:f>'Operating Statements'!$A$298:$A$303</c:f>
              <c:strCache>
                <c:ptCount val="6"/>
                <c:pt idx="0">
                  <c:v>Baseline Reactive (Cap Op St+IR DM)</c:v>
                </c:pt>
                <c:pt idx="1">
                  <c:v>Baseline - Reactive Fines</c:v>
                </c:pt>
                <c:pt idx="2">
                  <c:v>Baseline - Offset Based Compliance</c:v>
                </c:pt>
                <c:pt idx="3">
                  <c:v>Alternative 1</c:v>
                </c:pt>
                <c:pt idx="4">
                  <c:v>Alternative 2</c:v>
                </c:pt>
                <c:pt idx="5">
                  <c:v>Alternative 3</c:v>
                </c:pt>
              </c:strCache>
            </c:strRef>
          </c:cat>
          <c:val>
            <c:numRef>
              <c:f>'Operating Statements'!$M$306:$M$311</c:f>
              <c:numCache>
                <c:formatCode>"$"#,##0.00_);[Red]\("$"#,##0.00\)</c:formatCode>
                <c:ptCount val="6"/>
                <c:pt idx="0">
                  <c:v>1165.8811358841208</c:v>
                </c:pt>
                <c:pt idx="1">
                  <c:v>1154.2174263982665</c:v>
                </c:pt>
                <c:pt idx="2">
                  <c:v>1164.2906155081605</c:v>
                </c:pt>
                <c:pt idx="3">
                  <c:v>1163.5343993982056</c:v>
                </c:pt>
                <c:pt idx="4">
                  <c:v>1169.8690494601281</c:v>
                </c:pt>
                <c:pt idx="5">
                  <c:v>1168.0532352788448</c:v>
                </c:pt>
              </c:numCache>
            </c:numRef>
          </c:val>
          <c:extLst>
            <c:ext xmlns:c16="http://schemas.microsoft.com/office/drawing/2014/chart" uri="{C3380CC4-5D6E-409C-BE32-E72D297353CC}">
              <c16:uniqueId val="{0000000A-5420-4E2B-9C32-2B6BA8B77A03}"/>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Absolute</a:t>
            </a:r>
            <a:r>
              <a:rPr lang="en-US" baseline="0"/>
              <a:t> </a:t>
            </a:r>
            <a:r>
              <a:rPr lang="en-US"/>
              <a:t>NPV of Alternatives - Tenants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chemeClr val="bg1">
                  <a:lumMod val="50000"/>
                </a:schemeClr>
              </a:solidFill>
              <a:ln>
                <a:solidFill>
                  <a:srgbClr val="666699"/>
                </a:solidFill>
              </a:ln>
              <a:effectLst/>
            </c:spPr>
            <c:extLst>
              <c:ext xmlns:c16="http://schemas.microsoft.com/office/drawing/2014/chart" uri="{C3380CC4-5D6E-409C-BE32-E72D297353CC}">
                <c16:uniqueId val="{00000001-6106-4DD4-BFCD-1454174660DE}"/>
              </c:ext>
            </c:extLst>
          </c:dPt>
          <c:dPt>
            <c:idx val="1"/>
            <c:invertIfNegative val="0"/>
            <c:bubble3D val="0"/>
            <c:spPr>
              <a:solidFill>
                <a:srgbClr val="666699"/>
              </a:solidFill>
              <a:ln>
                <a:noFill/>
              </a:ln>
              <a:effectLst/>
            </c:spPr>
            <c:extLst>
              <c:ext xmlns:c16="http://schemas.microsoft.com/office/drawing/2014/chart" uri="{C3380CC4-5D6E-409C-BE32-E72D297353CC}">
                <c16:uniqueId val="{00000003-6106-4DD4-BFCD-1454174660DE}"/>
              </c:ext>
            </c:extLst>
          </c:dPt>
          <c:dPt>
            <c:idx val="2"/>
            <c:invertIfNegative val="0"/>
            <c:bubble3D val="0"/>
            <c:spPr>
              <a:solidFill>
                <a:srgbClr val="0070C0"/>
              </a:solidFill>
              <a:ln>
                <a:noFill/>
              </a:ln>
              <a:effectLst/>
            </c:spPr>
            <c:extLst>
              <c:ext xmlns:c16="http://schemas.microsoft.com/office/drawing/2014/chart" uri="{C3380CC4-5D6E-409C-BE32-E72D297353CC}">
                <c16:uniqueId val="{00000005-6106-4DD4-BFCD-1454174660D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6106-4DD4-BFCD-1454174660D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6106-4DD4-BFCD-1454174660DE}"/>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C-6106-4DD4-BFCD-1454174660DE}"/>
              </c:ext>
            </c:extLst>
          </c:dPt>
          <c:cat>
            <c:strRef>
              <c:f>'Operating Statements'!$A$298:$A$303</c:f>
              <c:strCache>
                <c:ptCount val="6"/>
                <c:pt idx="0">
                  <c:v>Baseline Reactive (Cap Op St+IR DM)</c:v>
                </c:pt>
                <c:pt idx="1">
                  <c:v>Baseline - Reactive Fines</c:v>
                </c:pt>
                <c:pt idx="2">
                  <c:v>Baseline - Offset Based Compliance</c:v>
                </c:pt>
                <c:pt idx="3">
                  <c:v>Alternative 1</c:v>
                </c:pt>
                <c:pt idx="4">
                  <c:v>Alternative 2</c:v>
                </c:pt>
                <c:pt idx="5">
                  <c:v>Alternative 3</c:v>
                </c:pt>
              </c:strCache>
            </c:strRef>
          </c:cat>
          <c:val>
            <c:numRef>
              <c:f>'Operating Statements'!$R$306:$R$311</c:f>
              <c:numCache>
                <c:formatCode>"$"#,##0.00_);[Red]\("$"#,##0.00\)</c:formatCode>
                <c:ptCount val="6"/>
                <c:pt idx="0">
                  <c:v>-5.0455311788776651</c:v>
                </c:pt>
                <c:pt idx="1">
                  <c:v>-5.0455311788776651</c:v>
                </c:pt>
                <c:pt idx="2">
                  <c:v>-5.0455311788776651</c:v>
                </c:pt>
                <c:pt idx="3">
                  <c:v>-0.5632130224291988</c:v>
                </c:pt>
                <c:pt idx="4">
                  <c:v>0.78545842399193444</c:v>
                </c:pt>
                <c:pt idx="5">
                  <c:v>0</c:v>
                </c:pt>
              </c:numCache>
            </c:numRef>
          </c:val>
          <c:extLst>
            <c:ext xmlns:c16="http://schemas.microsoft.com/office/drawing/2014/chart" uri="{C3380CC4-5D6E-409C-BE32-E72D297353CC}">
              <c16:uniqueId val="{0000000A-6106-4DD4-BFCD-1454174660DE}"/>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Carbon</a:t>
            </a:r>
            <a:r>
              <a:rPr lang="en-US" baseline="0"/>
              <a:t> Savings of Analysis Period (Before Offsets)</a:t>
            </a:r>
          </a:p>
          <a:p>
            <a:pPr>
              <a:defRPr sz="1400" b="0" i="0" u="none" strike="noStrike" kern="1200" spc="0" baseline="0">
                <a:solidFill>
                  <a:schemeClr val="tx1">
                    <a:lumMod val="65000"/>
                    <a:lumOff val="35000"/>
                  </a:schemeClr>
                </a:solidFill>
                <a:latin typeface="+mn-lt"/>
                <a:ea typeface="+mn-ea"/>
                <a:cs typeface="+mn-cs"/>
              </a:defRPr>
            </a:pPr>
            <a:r>
              <a:rPr lang="en-US" baseline="0"/>
              <a:t>Tenant - Owner Split</a:t>
            </a:r>
            <a:endParaRPr lang="en-US"/>
          </a:p>
        </c:rich>
      </c:tx>
      <c:overlay val="0"/>
      <c:spPr>
        <a:noFill/>
        <a:ln>
          <a:noFill/>
        </a:ln>
        <a:effectLst/>
      </c:spPr>
    </c:title>
    <c:autoTitleDeleted val="0"/>
    <c:plotArea>
      <c:layout/>
      <c:barChart>
        <c:barDir val="col"/>
        <c:grouping val="stacked"/>
        <c:varyColors val="0"/>
        <c:ser>
          <c:idx val="1"/>
          <c:order val="0"/>
          <c:tx>
            <c:v>Owner</c:v>
          </c:tx>
          <c:spPr>
            <a:solidFill>
              <a:schemeClr val="accent4">
                <a:lumMod val="60000"/>
                <a:lumOff val="40000"/>
              </a:schemeClr>
            </a:solidFill>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19-985F-4437-9FF1-BD94DBA8DBD5}"/>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1A-985F-4437-9FF1-BD94DBA8DBD5}"/>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1B-985F-4437-9FF1-BD94DBA8DBD5}"/>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1C-985F-4437-9FF1-BD94DBA8DBD5}"/>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1D-985F-4437-9FF1-BD94DBA8DBD5}"/>
              </c:ext>
            </c:extLst>
          </c:dPt>
          <c:cat>
            <c:strRef>
              <c:f>'Operating Statements'!$A$392:$A$396</c:f>
              <c:strCache>
                <c:ptCount val="5"/>
                <c:pt idx="0">
                  <c:v>Baseline - Reactive Fines</c:v>
                </c:pt>
                <c:pt idx="1">
                  <c:v>Baseline - Offset Based Compliance</c:v>
                </c:pt>
                <c:pt idx="2">
                  <c:v>Alternative 1</c:v>
                </c:pt>
                <c:pt idx="3">
                  <c:v>Alternative 2</c:v>
                </c:pt>
                <c:pt idx="4">
                  <c:v>Alternative 3</c:v>
                </c:pt>
              </c:strCache>
            </c:strRef>
          </c:cat>
          <c:val>
            <c:numRef>
              <c:f>'Operating Statements'!$AB$392:$AB$396</c:f>
              <c:numCache>
                <c:formatCode>0</c:formatCode>
                <c:ptCount val="5"/>
                <c:pt idx="0">
                  <c:v>176857.91881159996</c:v>
                </c:pt>
                <c:pt idx="1">
                  <c:v>176857.91881159996</c:v>
                </c:pt>
                <c:pt idx="2">
                  <c:v>221780.24226399994</c:v>
                </c:pt>
                <c:pt idx="3">
                  <c:v>210933.79694799994</c:v>
                </c:pt>
                <c:pt idx="4">
                  <c:v>208871.03650199992</c:v>
                </c:pt>
              </c:numCache>
            </c:numRef>
          </c:val>
          <c:extLst>
            <c:ext xmlns:c16="http://schemas.microsoft.com/office/drawing/2014/chart" uri="{C3380CC4-5D6E-409C-BE32-E72D297353CC}">
              <c16:uniqueId val="{00000018-985F-4437-9FF1-BD94DBA8DBD5}"/>
            </c:ext>
          </c:extLst>
        </c:ser>
        <c:ser>
          <c:idx val="0"/>
          <c:order val="1"/>
          <c:tx>
            <c:v>Tenant</c:v>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E-985F-4437-9FF1-BD94DBA8DBD5}"/>
              </c:ext>
            </c:extLst>
          </c:dPt>
          <c:dPt>
            <c:idx val="1"/>
            <c:invertIfNegative val="0"/>
            <c:bubble3D val="0"/>
            <c:extLst>
              <c:ext xmlns:c16="http://schemas.microsoft.com/office/drawing/2014/chart" uri="{C3380CC4-5D6E-409C-BE32-E72D297353CC}">
                <c16:uniqueId val="{00000010-985F-4437-9FF1-BD94DBA8DBD5}"/>
              </c:ext>
            </c:extLst>
          </c:dPt>
          <c:dPt>
            <c:idx val="2"/>
            <c:invertIfNegative val="0"/>
            <c:bubble3D val="0"/>
            <c:extLst>
              <c:ext xmlns:c16="http://schemas.microsoft.com/office/drawing/2014/chart" uri="{C3380CC4-5D6E-409C-BE32-E72D297353CC}">
                <c16:uniqueId val="{00000012-985F-4437-9FF1-BD94DBA8DBD5}"/>
              </c:ext>
            </c:extLst>
          </c:dPt>
          <c:dPt>
            <c:idx val="3"/>
            <c:invertIfNegative val="0"/>
            <c:bubble3D val="0"/>
            <c:extLst>
              <c:ext xmlns:c16="http://schemas.microsoft.com/office/drawing/2014/chart" uri="{C3380CC4-5D6E-409C-BE32-E72D297353CC}">
                <c16:uniqueId val="{00000014-985F-4437-9FF1-BD94DBA8DBD5}"/>
              </c:ext>
            </c:extLst>
          </c:dPt>
          <c:dPt>
            <c:idx val="4"/>
            <c:invertIfNegative val="0"/>
            <c:bubble3D val="0"/>
            <c:extLst>
              <c:ext xmlns:c16="http://schemas.microsoft.com/office/drawing/2014/chart" uri="{C3380CC4-5D6E-409C-BE32-E72D297353CC}">
                <c16:uniqueId val="{00000016-985F-4437-9FF1-BD94DBA8DBD5}"/>
              </c:ext>
            </c:extLst>
          </c:dPt>
          <c:cat>
            <c:strRef>
              <c:f>'Operating Statements'!$A$392:$A$396</c:f>
              <c:strCache>
                <c:ptCount val="5"/>
                <c:pt idx="0">
                  <c:v>Baseline - Reactive Fines</c:v>
                </c:pt>
                <c:pt idx="1">
                  <c:v>Baseline - Offset Based Compliance</c:v>
                </c:pt>
                <c:pt idx="2">
                  <c:v>Alternative 1</c:v>
                </c:pt>
                <c:pt idx="3">
                  <c:v>Alternative 2</c:v>
                </c:pt>
                <c:pt idx="4">
                  <c:v>Alternative 3</c:v>
                </c:pt>
              </c:strCache>
            </c:strRef>
          </c:cat>
          <c:val>
            <c:numRef>
              <c:f>'Operating Statements'!$AB$399:$AB$403</c:f>
              <c:numCache>
                <c:formatCode>0</c:formatCode>
                <c:ptCount val="5"/>
                <c:pt idx="0">
                  <c:v>5857.1603999999979</c:v>
                </c:pt>
                <c:pt idx="1">
                  <c:v>5857.1603999999979</c:v>
                </c:pt>
                <c:pt idx="2">
                  <c:v>2506.1144700000018</c:v>
                </c:pt>
                <c:pt idx="3">
                  <c:v>2506.1144700000018</c:v>
                </c:pt>
                <c:pt idx="4">
                  <c:v>0</c:v>
                </c:pt>
              </c:numCache>
            </c:numRef>
          </c:val>
          <c:extLst>
            <c:ext xmlns:c16="http://schemas.microsoft.com/office/drawing/2014/chart" uri="{C3380CC4-5D6E-409C-BE32-E72D297353CC}">
              <c16:uniqueId val="{00000017-985F-4437-9FF1-BD94DBA8DBD5}"/>
            </c:ext>
          </c:extLst>
        </c:ser>
        <c:dLbls>
          <c:showLegendKey val="0"/>
          <c:showVal val="0"/>
          <c:showCatName val="0"/>
          <c:showSerName val="0"/>
          <c:showPercent val="0"/>
          <c:showBubbleSize val="0"/>
        </c:dLbls>
        <c:gapWidth val="150"/>
        <c:overlap val="100"/>
        <c:axId val="491783048"/>
        <c:axId val="491785016"/>
      </c:barChart>
      <c:catAx>
        <c:axId val="49178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1785016"/>
        <c:crosses val="autoZero"/>
        <c:auto val="1"/>
        <c:lblAlgn val="ctr"/>
        <c:lblOffset val="10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Tons of</a:t>
                </a:r>
                <a:r>
                  <a:rPr lang="en-US" sz="1100" baseline="0"/>
                  <a:t> CO2eq</a:t>
                </a:r>
                <a:endParaRPr lang="en-US" sz="1100"/>
              </a:p>
            </c:rich>
          </c:tx>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plotArea>
    <c:legend>
      <c:legendPos val="t"/>
      <c:overlay val="0"/>
      <c:txPr>
        <a:bodyPr/>
        <a:lstStyle/>
        <a:p>
          <a:pPr>
            <a:defRPr sz="1100">
              <a:solidFill>
                <a:schemeClr val="tx1">
                  <a:lumMod val="65000"/>
                  <a:lumOff val="35000"/>
                </a:schemeClr>
              </a:solidFill>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EUI Per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254773279767785E-2"/>
          <c:y val="0.13024935488743969"/>
          <c:w val="0.88149792957568984"/>
          <c:h val="0.64170388287603819"/>
        </c:manualLayout>
      </c:layout>
      <c:scatterChart>
        <c:scatterStyle val="lineMarker"/>
        <c:varyColors val="0"/>
        <c:ser>
          <c:idx val="4"/>
          <c:order val="0"/>
          <c:tx>
            <c:strRef>
              <c:f>'Operating Statements'!$A$374</c:f>
              <c:strCache>
                <c:ptCount val="1"/>
                <c:pt idx="0">
                  <c:v>Alternative 1</c:v>
                </c:pt>
              </c:strCache>
            </c:strRef>
          </c:tx>
          <c:spPr>
            <a:ln w="28575" cap="rnd">
              <a:solidFill>
                <a:schemeClr val="accent6"/>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Statements'!$B$374:$V$374</c:f>
              <c:numCache>
                <c:formatCode>0.0</c:formatCode>
                <c:ptCount val="21"/>
                <c:pt idx="0">
                  <c:v>173.25425000000001</c:v>
                </c:pt>
                <c:pt idx="1">
                  <c:v>170.64212499999999</c:v>
                </c:pt>
                <c:pt idx="2">
                  <c:v>169.043375</c:v>
                </c:pt>
                <c:pt idx="3">
                  <c:v>164.67212499999999</c:v>
                </c:pt>
                <c:pt idx="4">
                  <c:v>164.67212499999999</c:v>
                </c:pt>
                <c:pt idx="5">
                  <c:v>166.485375</c:v>
                </c:pt>
                <c:pt idx="6">
                  <c:v>166.485375</c:v>
                </c:pt>
                <c:pt idx="7">
                  <c:v>166.485375</c:v>
                </c:pt>
                <c:pt idx="8">
                  <c:v>131.305375</c:v>
                </c:pt>
                <c:pt idx="9">
                  <c:v>131.305375</c:v>
                </c:pt>
                <c:pt idx="10">
                  <c:v>131.305375</c:v>
                </c:pt>
                <c:pt idx="11">
                  <c:v>132.90462500000001</c:v>
                </c:pt>
                <c:pt idx="12">
                  <c:v>132.90462500000001</c:v>
                </c:pt>
                <c:pt idx="13">
                  <c:v>132.90462500000001</c:v>
                </c:pt>
                <c:pt idx="14">
                  <c:v>132.90462500000001</c:v>
                </c:pt>
                <c:pt idx="15">
                  <c:v>132.90462500000001</c:v>
                </c:pt>
                <c:pt idx="16">
                  <c:v>133.91749999999999</c:v>
                </c:pt>
                <c:pt idx="17">
                  <c:v>135.51625000000001</c:v>
                </c:pt>
                <c:pt idx="18">
                  <c:v>135.51625000000001</c:v>
                </c:pt>
                <c:pt idx="19">
                  <c:v>135.51625000000001</c:v>
                </c:pt>
                <c:pt idx="20">
                  <c:v>135.51625000000001</c:v>
                </c:pt>
              </c:numCache>
            </c:numRef>
          </c:yVal>
          <c:smooth val="0"/>
          <c:extLst>
            <c:ext xmlns:c16="http://schemas.microsoft.com/office/drawing/2014/chart" uri="{C3380CC4-5D6E-409C-BE32-E72D297353CC}">
              <c16:uniqueId val="{00000000-515C-4D22-86FC-FC356D8B08DA}"/>
            </c:ext>
          </c:extLst>
        </c:ser>
        <c:ser>
          <c:idx val="5"/>
          <c:order val="1"/>
          <c:tx>
            <c:strRef>
              <c:f>'Operating Statements'!$A$375</c:f>
              <c:strCache>
                <c:ptCount val="1"/>
                <c:pt idx="0">
                  <c:v>Alternative 2</c:v>
                </c:pt>
              </c:strCache>
            </c:strRef>
          </c:tx>
          <c:spPr>
            <a:ln w="28575" cap="rnd">
              <a:solidFill>
                <a:schemeClr val="accent2">
                  <a:lumMod val="75000"/>
                </a:schemeClr>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Statements'!$B$375:$V$375</c:f>
              <c:numCache>
                <c:formatCode>0.0</c:formatCode>
                <c:ptCount val="21"/>
                <c:pt idx="0">
                  <c:v>173.25425000000001</c:v>
                </c:pt>
                <c:pt idx="1">
                  <c:v>171.068625</c:v>
                </c:pt>
                <c:pt idx="2">
                  <c:v>169.043375</c:v>
                </c:pt>
                <c:pt idx="3">
                  <c:v>169.043375</c:v>
                </c:pt>
                <c:pt idx="4">
                  <c:v>164.67212499999999</c:v>
                </c:pt>
                <c:pt idx="5">
                  <c:v>164.67212499999999</c:v>
                </c:pt>
                <c:pt idx="6">
                  <c:v>164.67212499999999</c:v>
                </c:pt>
                <c:pt idx="7">
                  <c:v>164.67212499999999</c:v>
                </c:pt>
                <c:pt idx="8">
                  <c:v>158.494125</c:v>
                </c:pt>
                <c:pt idx="9">
                  <c:v>158.494125</c:v>
                </c:pt>
                <c:pt idx="10">
                  <c:v>158.494125</c:v>
                </c:pt>
                <c:pt idx="11">
                  <c:v>159.666875</c:v>
                </c:pt>
                <c:pt idx="12">
                  <c:v>160.09337500000001</c:v>
                </c:pt>
                <c:pt idx="13">
                  <c:v>160.09337500000001</c:v>
                </c:pt>
                <c:pt idx="14">
                  <c:v>160.09337500000001</c:v>
                </c:pt>
                <c:pt idx="15">
                  <c:v>160.09337500000001</c:v>
                </c:pt>
                <c:pt idx="16">
                  <c:v>161.10624999999999</c:v>
                </c:pt>
                <c:pt idx="17">
                  <c:v>162.70500000000001</c:v>
                </c:pt>
                <c:pt idx="18">
                  <c:v>162.70500000000001</c:v>
                </c:pt>
                <c:pt idx="19">
                  <c:v>162.70500000000001</c:v>
                </c:pt>
                <c:pt idx="20">
                  <c:v>162.70500000000001</c:v>
                </c:pt>
              </c:numCache>
            </c:numRef>
          </c:yVal>
          <c:smooth val="0"/>
          <c:extLst>
            <c:ext xmlns:c16="http://schemas.microsoft.com/office/drawing/2014/chart" uri="{C3380CC4-5D6E-409C-BE32-E72D297353CC}">
              <c16:uniqueId val="{00000001-515C-4D22-86FC-FC356D8B08DA}"/>
            </c:ext>
          </c:extLst>
        </c:ser>
        <c:ser>
          <c:idx val="6"/>
          <c:order val="2"/>
          <c:tx>
            <c:strRef>
              <c:f>'Operating Statements'!$A$376</c:f>
              <c:strCache>
                <c:ptCount val="1"/>
                <c:pt idx="0">
                  <c:v>Alternative 3</c:v>
                </c:pt>
              </c:strCache>
            </c:strRef>
          </c:tx>
          <c:spPr>
            <a:ln w="28575" cap="rnd">
              <a:solidFill>
                <a:schemeClr val="accent4"/>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Statements'!$B$376:$V$376</c:f>
              <c:numCache>
                <c:formatCode>0.0</c:formatCode>
                <c:ptCount val="21"/>
                <c:pt idx="0">
                  <c:v>173.25425000000001</c:v>
                </c:pt>
                <c:pt idx="1">
                  <c:v>172.24137500000001</c:v>
                </c:pt>
                <c:pt idx="2">
                  <c:v>174.907625</c:v>
                </c:pt>
                <c:pt idx="3">
                  <c:v>174.907625</c:v>
                </c:pt>
                <c:pt idx="4">
                  <c:v>174.907625</c:v>
                </c:pt>
                <c:pt idx="5">
                  <c:v>170.53637499999999</c:v>
                </c:pt>
                <c:pt idx="6">
                  <c:v>170.53637499999999</c:v>
                </c:pt>
                <c:pt idx="7">
                  <c:v>164.358375</c:v>
                </c:pt>
                <c:pt idx="8">
                  <c:v>164.358375</c:v>
                </c:pt>
                <c:pt idx="9">
                  <c:v>164.358375</c:v>
                </c:pt>
                <c:pt idx="10">
                  <c:v>164.358375</c:v>
                </c:pt>
                <c:pt idx="11">
                  <c:v>164.358375</c:v>
                </c:pt>
                <c:pt idx="12">
                  <c:v>164.358375</c:v>
                </c:pt>
                <c:pt idx="13">
                  <c:v>164.358375</c:v>
                </c:pt>
                <c:pt idx="14">
                  <c:v>164.358375</c:v>
                </c:pt>
                <c:pt idx="15">
                  <c:v>164.358375</c:v>
                </c:pt>
                <c:pt idx="16">
                  <c:v>165.37125</c:v>
                </c:pt>
                <c:pt idx="17">
                  <c:v>162.70500000000001</c:v>
                </c:pt>
                <c:pt idx="18">
                  <c:v>162.70500000000001</c:v>
                </c:pt>
                <c:pt idx="19">
                  <c:v>162.70500000000001</c:v>
                </c:pt>
                <c:pt idx="20">
                  <c:v>162.70500000000001</c:v>
                </c:pt>
              </c:numCache>
            </c:numRef>
          </c:yVal>
          <c:smooth val="0"/>
          <c:extLst>
            <c:ext xmlns:c16="http://schemas.microsoft.com/office/drawing/2014/chart" uri="{C3380CC4-5D6E-409C-BE32-E72D297353CC}">
              <c16:uniqueId val="{00000002-515C-4D22-86FC-FC356D8B08DA}"/>
            </c:ext>
          </c:extLst>
        </c:ser>
        <c:ser>
          <c:idx val="0"/>
          <c:order val="3"/>
          <c:tx>
            <c:strRef>
              <c:f>'Operating Statements'!$A$372</c:f>
              <c:strCache>
                <c:ptCount val="1"/>
                <c:pt idx="0">
                  <c:v>Baseline - Reactive Fines</c:v>
                </c:pt>
              </c:strCache>
            </c:strRef>
          </c:tx>
          <c:spPr>
            <a:ln w="28575" cap="rnd">
              <a:solidFill>
                <a:srgbClr val="666699"/>
              </a:solidFill>
              <a:round/>
            </a:ln>
            <a:effectLst/>
          </c:spPr>
          <c:marker>
            <c:symbol val="none"/>
          </c:marker>
          <c:xVal>
            <c:numRef>
              <c:f>'Operating Statements'!$B$282:$V$282</c:f>
              <c:numCache>
                <c:formatCode>0</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xVal>
          <c:yVal>
            <c:numRef>
              <c:f>'Operating Statements'!$B$372:$V$372</c:f>
              <c:numCache>
                <c:formatCode>0.0</c:formatCode>
                <c:ptCount val="21"/>
                <c:pt idx="0">
                  <c:v>173.25425000000001</c:v>
                </c:pt>
                <c:pt idx="1">
                  <c:v>173.25425000000001</c:v>
                </c:pt>
                <c:pt idx="2">
                  <c:v>171.264002</c:v>
                </c:pt>
                <c:pt idx="3">
                  <c:v>171.264002</c:v>
                </c:pt>
                <c:pt idx="4">
                  <c:v>171.264002</c:v>
                </c:pt>
                <c:pt idx="5">
                  <c:v>171.264002</c:v>
                </c:pt>
                <c:pt idx="6">
                  <c:v>171.264002</c:v>
                </c:pt>
                <c:pt idx="7">
                  <c:v>170.10520149999999</c:v>
                </c:pt>
                <c:pt idx="8">
                  <c:v>170.10520149999999</c:v>
                </c:pt>
                <c:pt idx="9">
                  <c:v>170.10520149999999</c:v>
                </c:pt>
                <c:pt idx="10">
                  <c:v>170.10520149999999</c:v>
                </c:pt>
                <c:pt idx="11">
                  <c:v>170.10520149999999</c:v>
                </c:pt>
                <c:pt idx="12">
                  <c:v>169.789165</c:v>
                </c:pt>
                <c:pt idx="13">
                  <c:v>169.789165</c:v>
                </c:pt>
                <c:pt idx="14">
                  <c:v>169.789165</c:v>
                </c:pt>
                <c:pt idx="15">
                  <c:v>169.789165</c:v>
                </c:pt>
                <c:pt idx="16">
                  <c:v>169.789165</c:v>
                </c:pt>
                <c:pt idx="17">
                  <c:v>169.789165</c:v>
                </c:pt>
                <c:pt idx="18">
                  <c:v>169.789165</c:v>
                </c:pt>
                <c:pt idx="19">
                  <c:v>169.789165</c:v>
                </c:pt>
                <c:pt idx="20">
                  <c:v>169.789165</c:v>
                </c:pt>
              </c:numCache>
            </c:numRef>
          </c:yVal>
          <c:smooth val="0"/>
          <c:extLst>
            <c:ext xmlns:c16="http://schemas.microsoft.com/office/drawing/2014/chart" uri="{C3380CC4-5D6E-409C-BE32-E72D297353CC}">
              <c16:uniqueId val="{00000003-515C-4D22-86FC-FC356D8B08DA}"/>
            </c:ext>
          </c:extLst>
        </c:ser>
        <c:ser>
          <c:idx val="1"/>
          <c:order val="4"/>
          <c:tx>
            <c:strRef>
              <c:f>'Operating Statements'!$A$373</c:f>
              <c:strCache>
                <c:ptCount val="1"/>
                <c:pt idx="0">
                  <c:v>Baseline - Offset Based Compliance</c:v>
                </c:pt>
              </c:strCache>
            </c:strRef>
          </c:tx>
          <c:spPr>
            <a:ln w="28575" cap="rnd">
              <a:solidFill>
                <a:schemeClr val="accent5"/>
              </a:solidFill>
              <a:round/>
            </a:ln>
            <a:effectLst/>
          </c:spPr>
          <c:marker>
            <c:symbol val="none"/>
          </c:marker>
          <c:xVal>
            <c:numRef>
              <c:f>'Operating Statements'!$C$383:$V$383</c:f>
              <c:numCache>
                <c:formatCode>0</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'Operating Statements'!$C$373:$V$373</c:f>
              <c:numCache>
                <c:formatCode>0.0</c:formatCode>
                <c:ptCount val="20"/>
                <c:pt idx="0">
                  <c:v>173.25425000000001</c:v>
                </c:pt>
                <c:pt idx="1">
                  <c:v>171.264002</c:v>
                </c:pt>
                <c:pt idx="2">
                  <c:v>171.264002</c:v>
                </c:pt>
                <c:pt idx="3">
                  <c:v>171.264002</c:v>
                </c:pt>
                <c:pt idx="4">
                  <c:v>171.264002</c:v>
                </c:pt>
                <c:pt idx="5">
                  <c:v>171.264002</c:v>
                </c:pt>
                <c:pt idx="6">
                  <c:v>170.10520149999999</c:v>
                </c:pt>
                <c:pt idx="7">
                  <c:v>170.10520149999999</c:v>
                </c:pt>
                <c:pt idx="8">
                  <c:v>170.10520149999999</c:v>
                </c:pt>
                <c:pt idx="9">
                  <c:v>170.10520149999999</c:v>
                </c:pt>
                <c:pt idx="10">
                  <c:v>170.10520149999999</c:v>
                </c:pt>
                <c:pt idx="11">
                  <c:v>169.789165</c:v>
                </c:pt>
                <c:pt idx="12">
                  <c:v>169.789165</c:v>
                </c:pt>
                <c:pt idx="13">
                  <c:v>169.789165</c:v>
                </c:pt>
                <c:pt idx="14">
                  <c:v>169.789165</c:v>
                </c:pt>
                <c:pt idx="15">
                  <c:v>169.789165</c:v>
                </c:pt>
                <c:pt idx="16">
                  <c:v>169.789165</c:v>
                </c:pt>
                <c:pt idx="17">
                  <c:v>169.789165</c:v>
                </c:pt>
                <c:pt idx="18">
                  <c:v>169.789165</c:v>
                </c:pt>
                <c:pt idx="19">
                  <c:v>169.789165</c:v>
                </c:pt>
              </c:numCache>
            </c:numRef>
          </c:yVal>
          <c:smooth val="0"/>
          <c:extLst>
            <c:ext xmlns:c16="http://schemas.microsoft.com/office/drawing/2014/chart" uri="{C3380CC4-5D6E-409C-BE32-E72D297353CC}">
              <c16:uniqueId val="{00000004-515C-4D22-86FC-FC356D8B08DA}"/>
            </c:ext>
          </c:extLst>
        </c:ser>
        <c:dLbls>
          <c:showLegendKey val="0"/>
          <c:showVal val="0"/>
          <c:showCatName val="0"/>
          <c:showSerName val="0"/>
          <c:showPercent val="0"/>
          <c:showBubbleSize val="0"/>
        </c:dLbls>
        <c:axId val="518984400"/>
        <c:axId val="518982440"/>
        <c:extLst/>
      </c:scatterChart>
      <c:valAx>
        <c:axId val="518984400"/>
        <c:scaling>
          <c:orientation val="minMax"/>
          <c:max val="20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2440"/>
        <c:crosses val="autoZero"/>
        <c:crossBetween val="midCat"/>
        <c:majorUnit val="1"/>
      </c:valAx>
      <c:valAx>
        <c:axId val="51898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kBTU</a:t>
                </a:r>
                <a:r>
                  <a:rPr lang="en-US" sz="1100" baseline="0"/>
                  <a:t> </a:t>
                </a:r>
                <a:r>
                  <a:rPr lang="en-US" sz="1100"/>
                  <a:t>/ year  / Sq. Ft.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4400"/>
        <c:crosses val="autoZero"/>
        <c:crossBetween val="midCat"/>
      </c:valAx>
      <c:spPr>
        <a:noFill/>
        <a:ln w="28575">
          <a:noFill/>
        </a:ln>
        <a:effectLst/>
      </c:spPr>
    </c:plotArea>
    <c:legend>
      <c:legendPos val="b"/>
      <c:layout>
        <c:manualLayout>
          <c:xMode val="edge"/>
          <c:yMode val="edge"/>
          <c:x val="3.8223133573233085E-2"/>
          <c:y val="0.85939325497309205"/>
          <c:w val="0.88875671856468763"/>
          <c:h val="0.1249274297542912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Relative NPV of Alternatives </a:t>
            </a:r>
          </a:p>
          <a:p>
            <a:pPr>
              <a:defRPr/>
            </a:pPr>
            <a:r>
              <a:rPr lang="en-US" sz="1000"/>
              <a:t>(For</a:t>
            </a:r>
            <a:r>
              <a:rPr lang="en-US" sz="1000" baseline="0"/>
              <a:t> the selected analysis period)</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Relative NPV</c:v>
          </c:tx>
          <c:spPr>
            <a:solidFill>
              <a:schemeClr val="accent4">
                <a:lumMod val="60000"/>
                <a:lumOff val="40000"/>
              </a:schemeClr>
            </a:solidFill>
            <a:ln>
              <a:noFill/>
            </a:ln>
            <a:effectLst/>
          </c:spPr>
          <c:invertIfNegative val="0"/>
          <c:dPt>
            <c:idx val="0"/>
            <c:invertIfNegative val="0"/>
            <c:bubble3D val="0"/>
            <c:spPr>
              <a:solidFill>
                <a:srgbClr val="666699"/>
              </a:solidFill>
              <a:ln>
                <a:solidFill>
                  <a:srgbClr val="666699"/>
                </a:solidFill>
              </a:ln>
              <a:effectLst/>
            </c:spPr>
            <c:extLst>
              <c:ext xmlns:c16="http://schemas.microsoft.com/office/drawing/2014/chart" uri="{C3380CC4-5D6E-409C-BE32-E72D297353CC}">
                <c16:uniqueId val="{00000001-7E3F-4400-B75D-6554BA8E899D}"/>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E3F-4400-B75D-6554BA8E899D}"/>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7E3F-4400-B75D-6554BA8E899D}"/>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7-7E3F-4400-B75D-6554BA8E899D}"/>
              </c:ext>
            </c:extLst>
          </c:dPt>
          <c:dPt>
            <c:idx val="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9-7E3F-4400-B75D-6554BA8E899D}"/>
              </c:ext>
            </c:extLst>
          </c:dPt>
          <c:cat>
            <c:strRef>
              <c:f>'Operating Statements'!$A$299:$A$303</c:f>
              <c:strCache>
                <c:ptCount val="5"/>
                <c:pt idx="0">
                  <c:v>Baseline - Reactive Fines</c:v>
                </c:pt>
                <c:pt idx="1">
                  <c:v>Baseline - Offset Based Compliance</c:v>
                </c:pt>
                <c:pt idx="2">
                  <c:v>Alternative 1</c:v>
                </c:pt>
                <c:pt idx="3">
                  <c:v>Alternative 2</c:v>
                </c:pt>
                <c:pt idx="4">
                  <c:v>Alternative 3</c:v>
                </c:pt>
              </c:strCache>
            </c:strRef>
          </c:cat>
          <c:val>
            <c:numRef>
              <c:f>'Operating Statements'!$V$307:$V$311</c:f>
              <c:numCache>
                <c:formatCode>"$"#,##0.00_);[Red]\("$"#,##0.00\)</c:formatCode>
                <c:ptCount val="5"/>
                <c:pt idx="0">
                  <c:v>-11.66370948585427</c:v>
                </c:pt>
                <c:pt idx="1">
                  <c:v>-1.5905203759602955</c:v>
                </c:pt>
                <c:pt idx="2">
                  <c:v>2.135581670533222</c:v>
                </c:pt>
                <c:pt idx="3">
                  <c:v>9.8189031788768588</c:v>
                </c:pt>
                <c:pt idx="4">
                  <c:v>7.2176305736016655</c:v>
                </c:pt>
              </c:numCache>
            </c:numRef>
          </c:val>
          <c:extLst>
            <c:ext xmlns:c16="http://schemas.microsoft.com/office/drawing/2014/chart" uri="{C3380CC4-5D6E-409C-BE32-E72D297353CC}">
              <c16:uniqueId val="{0000000A-7E3F-4400-B75D-6554BA8E899D}"/>
            </c:ext>
          </c:extLst>
        </c:ser>
        <c:dLbls>
          <c:showLegendKey val="0"/>
          <c:showVal val="0"/>
          <c:showCatName val="0"/>
          <c:showSerName val="0"/>
          <c:showPercent val="0"/>
          <c:showBubbleSize val="0"/>
        </c:dLbls>
        <c:gapWidth val="150"/>
        <c:axId val="491783048"/>
        <c:axId val="491785016"/>
      </c:barChart>
      <c:catAx>
        <c:axId val="491783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1785016"/>
        <c:crosses val="autoZero"/>
        <c:auto val="1"/>
        <c:lblAlgn val="ctr"/>
        <c:lblOffset val="0"/>
        <c:noMultiLvlLbl val="0"/>
      </c:catAx>
      <c:valAx>
        <c:axId val="49178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Million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78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Annual Energy Use Summary</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'Building Info &amp; Assumptions'!$A$347:$A$354</c:f>
            </c:strRef>
          </c:cat>
          <c:val>
            <c:numRef>
              <c:f>'Building Info &amp; Assumptions'!$E$347:$E$354</c:f>
            </c:numRef>
          </c:val>
          <c:extLst>
            <c:ext xmlns:c16="http://schemas.microsoft.com/office/drawing/2014/chart" uri="{C3380CC4-5D6E-409C-BE32-E72D297353CC}">
              <c16:uniqueId val="{00000000-020C-419C-9C2C-88A22DAB8238}"/>
            </c:ext>
          </c:extLst>
        </c:ser>
        <c:dLbls>
          <c:showLegendKey val="0"/>
          <c:showVal val="0"/>
          <c:showCatName val="0"/>
          <c:showSerName val="0"/>
          <c:showPercent val="0"/>
          <c:showBubbleSize val="0"/>
        </c:dLbls>
        <c:gapWidth val="219"/>
        <c:overlap val="-27"/>
        <c:axId val="690862320"/>
        <c:axId val="690864480"/>
      </c:barChart>
      <c:catAx>
        <c:axId val="69086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864480"/>
        <c:crosses val="autoZero"/>
        <c:auto val="1"/>
        <c:lblAlgn val="ctr"/>
        <c:lblOffset val="100"/>
        <c:noMultiLvlLbl val="0"/>
      </c:catAx>
      <c:valAx>
        <c:axId val="690864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Thousands BTU (kBTU)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086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[2021-09-21 - NYSERDA SDA - sample building.xlsx]Equipment Inventory!PivotTable1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2">
                <a:alpha val="0"/>
              </a:schemeClr>
            </a:solidFill>
            <a:round/>
          </a:ln>
          <a:effectLst/>
        </c:spPr>
        <c:marker>
          <c:symbol val="square"/>
          <c:size val="8"/>
          <c:spPr>
            <a:solidFill>
              <a:schemeClr val="accent2"/>
            </a:solidFill>
            <a:ln w="12700">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alpha val="0"/>
              </a:schemeClr>
            </a:solidFill>
            <a:round/>
          </a:ln>
          <a:effectLst/>
        </c:spPr>
        <c:marker>
          <c:symbol val="square"/>
          <c:size val="8"/>
          <c:spPr>
            <a:solidFill>
              <a:schemeClr val="accent2"/>
            </a:solidFill>
            <a:ln w="12700">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solidFill>
              <a:schemeClr val="accent2">
                <a:alpha val="0"/>
              </a:schemeClr>
            </a:solidFill>
          </a:ln>
          <a:effectLst/>
        </c:spPr>
        <c:marker>
          <c:symbol val="square"/>
          <c:size val="8"/>
          <c:spPr>
            <a:solidFill>
              <a:schemeClr val="accent1"/>
            </a:solidFill>
            <a:ln w="12700">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noFill/>
            <a:round/>
          </a:ln>
          <a:effectLst/>
        </c:spPr>
        <c:marker>
          <c:symbol val="circle"/>
          <c:size val="12"/>
          <c:spPr>
            <a:solidFill>
              <a:schemeClr val="accent2"/>
            </a:solidFill>
            <a:ln w="19050">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'Equipment Inventory'!$AJ$6</c:f>
              <c:strCache>
                <c:ptCount val="1"/>
                <c:pt idx="0">
                  <c:v>Sum of Est Replacement Cost</c:v>
                </c:pt>
              </c:strCache>
            </c:strRef>
          </c:tx>
          <c:spPr>
            <a:solidFill>
              <a:schemeClr val="accent1"/>
            </a:solidFill>
            <a:ln>
              <a:noFill/>
            </a:ln>
            <a:effectLst/>
          </c:spPr>
          <c:invertIfNegative val="0"/>
          <c:cat>
            <c:multiLvlStrRef>
              <c:f>'Equipment Inventory'!$AI$7:$AI$22</c:f>
              <c:multiLvlStrCache>
                <c:ptCount val="12"/>
                <c:lvl>
                  <c:pt idx="0">
                    <c:v>HHWP-XX</c:v>
                  </c:pt>
                  <c:pt idx="1">
                    <c:v>HWP-XX</c:v>
                  </c:pt>
                  <c:pt idx="2">
                    <c:v>HX-XX</c:v>
                  </c:pt>
                  <c:pt idx="3">
                    <c:v>N/A</c:v>
                  </c:pt>
                  <c:pt idx="4">
                    <c:v>(blank)</c:v>
                  </c:pt>
                  <c:pt idx="5">
                    <c:v>AHU-XX</c:v>
                  </c:pt>
                  <c:pt idx="6">
                    <c:v>B-XX</c:v>
                  </c:pt>
                  <c:pt idx="7">
                    <c:v>CH-XX</c:v>
                  </c:pt>
                  <c:pt idx="8">
                    <c:v>CHWP-XX</c:v>
                  </c:pt>
                  <c:pt idx="9">
                    <c:v>CT-XX</c:v>
                  </c:pt>
                  <c:pt idx="10">
                    <c:v>CWP-XX</c:v>
                  </c:pt>
                  <c:pt idx="11">
                    <c:v>VAV-XX</c:v>
                  </c:pt>
                </c:lvl>
                <c:lvl>
                  <c:pt idx="0">
                    <c:v>1 to 5</c:v>
                  </c:pt>
                  <c:pt idx="5">
                    <c:v>11 to 15</c:v>
                  </c:pt>
                  <c:pt idx="8">
                    <c:v>6 to 10</c:v>
                  </c:pt>
                </c:lvl>
              </c:multiLvlStrCache>
            </c:multiLvlStrRef>
          </c:cat>
          <c:val>
            <c:numRef>
              <c:f>'Equipment Inventory'!$AJ$7:$AJ$22</c:f>
              <c:numCache>
                <c:formatCode>General</c:formatCode>
                <c:ptCount val="12"/>
                <c:pt idx="0">
                  <c:v>200000</c:v>
                </c:pt>
                <c:pt idx="1">
                  <c:v>150000</c:v>
                </c:pt>
                <c:pt idx="2">
                  <c:v>500000</c:v>
                </c:pt>
                <c:pt idx="3">
                  <c:v>6000000</c:v>
                </c:pt>
                <c:pt idx="5">
                  <c:v>3000000</c:v>
                </c:pt>
                <c:pt idx="6">
                  <c:v>300000</c:v>
                </c:pt>
                <c:pt idx="7">
                  <c:v>3000000</c:v>
                </c:pt>
                <c:pt idx="8">
                  <c:v>300000</c:v>
                </c:pt>
                <c:pt idx="9">
                  <c:v>1500000</c:v>
                </c:pt>
                <c:pt idx="10">
                  <c:v>200000</c:v>
                </c:pt>
                <c:pt idx="11">
                  <c:v>900000</c:v>
                </c:pt>
              </c:numCache>
            </c:numRef>
          </c:val>
          <c:extLst>
            <c:ext xmlns:c16="http://schemas.microsoft.com/office/drawing/2014/chart" uri="{C3380CC4-5D6E-409C-BE32-E72D297353CC}">
              <c16:uniqueId val="{00000004-7216-4282-A265-749E5D57EA4E}"/>
            </c:ext>
          </c:extLst>
        </c:ser>
        <c:dLbls>
          <c:showLegendKey val="0"/>
          <c:showVal val="0"/>
          <c:showCatName val="0"/>
          <c:showSerName val="0"/>
          <c:showPercent val="0"/>
          <c:showBubbleSize val="0"/>
        </c:dLbls>
        <c:gapWidth val="230"/>
        <c:axId val="704976416"/>
        <c:axId val="704969856"/>
      </c:barChart>
      <c:lineChart>
        <c:grouping val="standard"/>
        <c:varyColors val="0"/>
        <c:ser>
          <c:idx val="1"/>
          <c:order val="1"/>
          <c:tx>
            <c:strRef>
              <c:f>'Equipment Inventory'!$AK$6</c:f>
              <c:strCache>
                <c:ptCount val="1"/>
                <c:pt idx="0">
                  <c:v>Sum of Energy Savings</c:v>
                </c:pt>
              </c:strCache>
            </c:strRef>
          </c:tx>
          <c:spPr>
            <a:ln w="28575" cap="rnd">
              <a:noFill/>
              <a:round/>
            </a:ln>
            <a:effectLst/>
          </c:spPr>
          <c:marker>
            <c:symbol val="circle"/>
            <c:size val="12"/>
            <c:spPr>
              <a:solidFill>
                <a:schemeClr val="accent2"/>
              </a:solidFill>
              <a:ln w="19050">
                <a:solidFill>
                  <a:schemeClr val="accent2"/>
                </a:solidFill>
              </a:ln>
              <a:effectLst/>
            </c:spPr>
          </c:marker>
          <c:cat>
            <c:multiLvlStrRef>
              <c:f>'Equipment Inventory'!$AI$7:$AI$22</c:f>
              <c:multiLvlStrCache>
                <c:ptCount val="12"/>
                <c:lvl>
                  <c:pt idx="0">
                    <c:v>HHWP-XX</c:v>
                  </c:pt>
                  <c:pt idx="1">
                    <c:v>HWP-XX</c:v>
                  </c:pt>
                  <c:pt idx="2">
                    <c:v>HX-XX</c:v>
                  </c:pt>
                  <c:pt idx="3">
                    <c:v>N/A</c:v>
                  </c:pt>
                  <c:pt idx="4">
                    <c:v>(blank)</c:v>
                  </c:pt>
                  <c:pt idx="5">
                    <c:v>AHU-XX</c:v>
                  </c:pt>
                  <c:pt idx="6">
                    <c:v>B-XX</c:v>
                  </c:pt>
                  <c:pt idx="7">
                    <c:v>CH-XX</c:v>
                  </c:pt>
                  <c:pt idx="8">
                    <c:v>CHWP-XX</c:v>
                  </c:pt>
                  <c:pt idx="9">
                    <c:v>CT-XX</c:v>
                  </c:pt>
                  <c:pt idx="10">
                    <c:v>CWP-XX</c:v>
                  </c:pt>
                  <c:pt idx="11">
                    <c:v>VAV-XX</c:v>
                  </c:pt>
                </c:lvl>
                <c:lvl>
                  <c:pt idx="0">
                    <c:v>1 to 5</c:v>
                  </c:pt>
                  <c:pt idx="5">
                    <c:v>11 to 15</c:v>
                  </c:pt>
                  <c:pt idx="8">
                    <c:v>6 to 10</c:v>
                  </c:pt>
                </c:lvl>
              </c:multiLvlStrCache>
            </c:multiLvlStrRef>
          </c:cat>
          <c:val>
            <c:numRef>
              <c:f>'Equipment Inventory'!$AK$7:$AK$22</c:f>
              <c:numCache>
                <c:formatCode>General</c:formatCode>
                <c:ptCount val="12"/>
                <c:pt idx="0">
                  <c:v>5280</c:v>
                </c:pt>
                <c:pt idx="1">
                  <c:v>5280</c:v>
                </c:pt>
                <c:pt idx="2">
                  <c:v>56000</c:v>
                </c:pt>
                <c:pt idx="3">
                  <c:v>10560</c:v>
                </c:pt>
                <c:pt idx="4">
                  <c:v>0</c:v>
                </c:pt>
                <c:pt idx="5">
                  <c:v>15840</c:v>
                </c:pt>
                <c:pt idx="6">
                  <c:v>5280</c:v>
                </c:pt>
                <c:pt idx="7">
                  <c:v>52800</c:v>
                </c:pt>
                <c:pt idx="8">
                  <c:v>5280</c:v>
                </c:pt>
                <c:pt idx="9">
                  <c:v>0</c:v>
                </c:pt>
                <c:pt idx="10">
                  <c:v>5280</c:v>
                </c:pt>
                <c:pt idx="11">
                  <c:v>0</c:v>
                </c:pt>
              </c:numCache>
            </c:numRef>
          </c:val>
          <c:smooth val="0"/>
          <c:extLst>
            <c:ext xmlns:c16="http://schemas.microsoft.com/office/drawing/2014/chart" uri="{C3380CC4-5D6E-409C-BE32-E72D297353CC}">
              <c16:uniqueId val="{00000005-7216-4282-A265-749E5D57EA4E}"/>
            </c:ext>
          </c:extLst>
        </c:ser>
        <c:dLbls>
          <c:showLegendKey val="0"/>
          <c:showVal val="0"/>
          <c:showCatName val="0"/>
          <c:showSerName val="0"/>
          <c:showPercent val="0"/>
          <c:showBubbleSize val="0"/>
        </c:dLbls>
        <c:marker val="1"/>
        <c:smooth val="0"/>
        <c:axId val="359638144"/>
        <c:axId val="359644384"/>
      </c:lineChart>
      <c:catAx>
        <c:axId val="70497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69856"/>
        <c:crosses val="autoZero"/>
        <c:auto val="1"/>
        <c:lblAlgn val="ctr"/>
        <c:lblOffset val="100"/>
        <c:noMultiLvlLbl val="0"/>
      </c:catAx>
      <c:valAx>
        <c:axId val="704969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704976416"/>
        <c:crosses val="autoZero"/>
        <c:crossBetween val="between"/>
      </c:valAx>
      <c:valAx>
        <c:axId val="3596443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638144"/>
        <c:crosses val="max"/>
        <c:crossBetween val="between"/>
      </c:valAx>
      <c:catAx>
        <c:axId val="359638144"/>
        <c:scaling>
          <c:orientation val="minMax"/>
        </c:scaling>
        <c:delete val="1"/>
        <c:axPos val="b"/>
        <c:numFmt formatCode="General" sourceLinked="1"/>
        <c:majorTickMark val="out"/>
        <c:minorTickMark val="none"/>
        <c:tickLblPos val="nextTo"/>
        <c:crossAx val="359644384"/>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Percentage of Energy Use by Equipment RUL</a:t>
            </a:r>
          </a:p>
        </c:rich>
      </c:tx>
      <c:layout>
        <c:manualLayout>
          <c:xMode val="edge"/>
          <c:yMode val="edge"/>
          <c:x val="0.26066197920168505"/>
          <c:y val="1.5575834581984761E-2"/>
        </c:manualLayout>
      </c:layout>
      <c:overlay val="0"/>
      <c:spPr>
        <a:noFill/>
        <a:ln>
          <a:noFill/>
        </a:ln>
        <a:effectLst/>
      </c:spPr>
    </c:title>
    <c:autoTitleDeleted val="0"/>
    <c:plotArea>
      <c:layout>
        <c:manualLayout>
          <c:layoutTarget val="inner"/>
          <c:xMode val="edge"/>
          <c:yMode val="edge"/>
          <c:x val="7.2831213406016559E-2"/>
          <c:y val="0.11295846420331623"/>
          <c:w val="0.89383545326065006"/>
          <c:h val="0.79930431416599323"/>
        </c:manualLayout>
      </c:layout>
      <c:barChart>
        <c:barDir val="col"/>
        <c:grouping val="stacked"/>
        <c:varyColors val="0"/>
        <c:ser>
          <c:idx val="0"/>
          <c:order val="1"/>
          <c:tx>
            <c:v>Tenant Equipment</c:v>
          </c:tx>
          <c:spPr>
            <a:solidFill>
              <a:schemeClr val="accent1"/>
            </a:solidFill>
            <a:ln>
              <a:noFill/>
            </a:ln>
            <a:effectLst/>
          </c:spPr>
          <c:invertIfNegative val="0"/>
          <c:cat>
            <c:strRef>
              <c:f>'Equipment Inventory'!$AM$11:$AM$14</c:f>
              <c:strCache>
                <c:ptCount val="4"/>
                <c:pt idx="0">
                  <c:v>1 to 5</c:v>
                </c:pt>
                <c:pt idx="1">
                  <c:v>6 to 10</c:v>
                </c:pt>
                <c:pt idx="2">
                  <c:v>11 to 15</c:v>
                </c:pt>
                <c:pt idx="3">
                  <c:v>16+</c:v>
                </c:pt>
              </c:strCache>
              <c:extLst xmlns:c15="http://schemas.microsoft.com/office/drawing/2012/chart"/>
            </c:strRef>
          </c:cat>
          <c:val>
            <c:numRef>
              <c:f>'Equipment Inventory'!$AQ$11:$AQ$14</c:f>
              <c:numCache>
                <c:formatCode>0%</c:formatCode>
                <c:ptCount val="4"/>
                <c:pt idx="0">
                  <c:v>0.15200997955317114</c:v>
                </c:pt>
                <c:pt idx="1">
                  <c:v>6.0803991821268451E-2</c:v>
                </c:pt>
                <c:pt idx="2">
                  <c:v>9.120598773190268E-2</c:v>
                </c:pt>
                <c:pt idx="3">
                  <c:v>0</c:v>
                </c:pt>
              </c:numCache>
            </c:numRef>
          </c:val>
          <c:extLst xmlns:c15="http://schemas.microsoft.com/office/drawing/2012/chart">
            <c:ext xmlns:c16="http://schemas.microsoft.com/office/drawing/2014/chart" uri="{C3380CC4-5D6E-409C-BE32-E72D297353CC}">
              <c16:uniqueId val="{00000004-DBC8-40D1-885E-A44150E30540}"/>
            </c:ext>
          </c:extLst>
        </c:ser>
        <c:ser>
          <c:idx val="1"/>
          <c:order val="2"/>
          <c:tx>
            <c:v>Owner Equipment</c:v>
          </c:tx>
          <c:spPr>
            <a:solidFill>
              <a:schemeClr val="accent6"/>
            </a:solidFill>
            <a:ln>
              <a:noFill/>
            </a:ln>
            <a:effectLst/>
          </c:spPr>
          <c:invertIfNegative val="0"/>
          <c:cat>
            <c:strRef>
              <c:f>'Equipment Inventory'!$AM$11:$AM$14</c:f>
              <c:strCache>
                <c:ptCount val="4"/>
                <c:pt idx="0">
                  <c:v>1 to 5</c:v>
                </c:pt>
                <c:pt idx="1">
                  <c:v>6 to 10</c:v>
                </c:pt>
                <c:pt idx="2">
                  <c:v>11 to 15</c:v>
                </c:pt>
                <c:pt idx="3">
                  <c:v>16+</c:v>
                </c:pt>
              </c:strCache>
            </c:strRef>
          </c:cat>
          <c:val>
            <c:numRef>
              <c:f>'Equipment Inventory'!$AS$11:$AS$14</c:f>
              <c:numCache>
                <c:formatCode>0%</c:formatCode>
                <c:ptCount val="4"/>
                <c:pt idx="0">
                  <c:v>0.51356806542985234</c:v>
                </c:pt>
                <c:pt idx="1">
                  <c:v>0.18241197546380536</c:v>
                </c:pt>
                <c:pt idx="2">
                  <c:v>0</c:v>
                </c:pt>
                <c:pt idx="3">
                  <c:v>0</c:v>
                </c:pt>
              </c:numCache>
            </c:numRef>
          </c:val>
          <c:extLst>
            <c:ext xmlns:c16="http://schemas.microsoft.com/office/drawing/2014/chart" uri="{C3380CC4-5D6E-409C-BE32-E72D297353CC}">
              <c16:uniqueId val="{00000002-DBC8-40D1-885E-A44150E30540}"/>
            </c:ext>
          </c:extLst>
        </c:ser>
        <c:dLbls>
          <c:showLegendKey val="0"/>
          <c:showVal val="0"/>
          <c:showCatName val="0"/>
          <c:showSerName val="0"/>
          <c:showPercent val="0"/>
          <c:showBubbleSize val="0"/>
        </c:dLbls>
        <c:gapWidth val="150"/>
        <c:overlap val="100"/>
        <c:axId val="518989104"/>
        <c:axId val="518984792"/>
        <c:extLst>
          <c:ext xmlns:c15="http://schemas.microsoft.com/office/drawing/2012/chart" uri="{02D57815-91ED-43cb-92C2-25804820EDAC}">
            <c15:filteredBarSeries>
              <c15:ser>
                <c:idx val="2"/>
                <c:order val="0"/>
                <c:invertIfNegative val="0"/>
                <c:cat>
                  <c:strRef>
                    <c:extLst>
                      <c:ext uri="{02D57815-91ED-43cb-92C2-25804820EDAC}">
                        <c15:formulaRef>
                          <c15:sqref>'Equipment Inventory'!$AM$11:$AM$14</c15:sqref>
                        </c15:formulaRef>
                      </c:ext>
                    </c:extLst>
                    <c:strCache>
                      <c:ptCount val="4"/>
                      <c:pt idx="0">
                        <c:v>1 to 5</c:v>
                      </c:pt>
                      <c:pt idx="1">
                        <c:v>6 to 10</c:v>
                      </c:pt>
                      <c:pt idx="2">
                        <c:v>11 to 15</c:v>
                      </c:pt>
                      <c:pt idx="3">
                        <c:v>16+</c:v>
                      </c:pt>
                    </c:strCache>
                  </c:strRef>
                </c:cat>
                <c:val>
                  <c:numRef>
                    <c:extLst>
                      <c:ext uri="{02D57815-91ED-43cb-92C2-25804820EDAC}">
                        <c15:formulaRef>
                          <c15:sqref>'Equipment Inventory'!$AN$11:$AN$14</c15:sqref>
                        </c15:formulaRef>
                      </c:ext>
                    </c:extLst>
                    <c:numCache>
                      <c:formatCode>General</c:formatCode>
                      <c:ptCount val="4"/>
                      <c:pt idx="0">
                        <c:v>184502760</c:v>
                      </c:pt>
                      <c:pt idx="1">
                        <c:v>67421120</c:v>
                      </c:pt>
                      <c:pt idx="2">
                        <c:v>25282920</c:v>
                      </c:pt>
                      <c:pt idx="3">
                        <c:v>0</c:v>
                      </c:pt>
                    </c:numCache>
                  </c:numRef>
                </c:val>
                <c:extLst>
                  <c:ext xmlns:c16="http://schemas.microsoft.com/office/drawing/2014/chart" uri="{C3380CC4-5D6E-409C-BE32-E72D297353CC}">
                    <c16:uniqueId val="{00000005-DBC8-40D1-885E-A44150E30540}"/>
                  </c:ext>
                </c:extLst>
              </c15:ser>
            </c15:filteredBarSeries>
          </c:ext>
        </c:extLst>
      </c:barChart>
      <c:catAx>
        <c:axId val="518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8984792"/>
        <c:crosses val="autoZero"/>
        <c:auto val="1"/>
        <c:lblAlgn val="ctr"/>
        <c:lblOffset val="100"/>
        <c:noMultiLvlLbl val="0"/>
      </c:catAx>
      <c:valAx>
        <c:axId val="51898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9104"/>
        <c:crosses val="autoZero"/>
        <c:crossBetween val="between"/>
      </c:valAx>
    </c:plotArea>
    <c:legend>
      <c:legendPos val="t"/>
      <c:overlay val="0"/>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Percentage of Energy Use by Fuel, by Equipment RUL</a:t>
            </a:r>
          </a:p>
        </c:rich>
      </c:tx>
      <c:layout>
        <c:manualLayout>
          <c:xMode val="edge"/>
          <c:yMode val="edge"/>
          <c:x val="0.20445075335237498"/>
          <c:y val="1.93741831321596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'Equipment Inventory'!$AX$10</c:f>
              <c:strCache>
                <c:ptCount val="1"/>
                <c:pt idx="0">
                  <c:v>Annual Electricity Use (kWh)</c:v>
                </c:pt>
              </c:strCache>
            </c:strRef>
          </c:tx>
          <c:spPr>
            <a:solidFill>
              <a:schemeClr val="accent1"/>
            </a:solidFill>
            <a:ln>
              <a:noFill/>
            </a:ln>
            <a:effectLst/>
          </c:spPr>
          <c:invertIfNegative val="0"/>
          <c:val>
            <c:numRef>
              <c:f>'Equipment Inventory'!$AY$11:$AY$14</c:f>
              <c:numCache>
                <c:formatCode>0%</c:formatCode>
                <c:ptCount val="4"/>
                <c:pt idx="0">
                  <c:v>0.45</c:v>
                </c:pt>
                <c:pt idx="1">
                  <c:v>0.4</c:v>
                </c:pt>
                <c:pt idx="2">
                  <c:v>0.15</c:v>
                </c:pt>
                <c:pt idx="3">
                  <c:v>0</c:v>
                </c:pt>
              </c:numCache>
            </c:numRef>
          </c:val>
          <c:extLst>
            <c:ext xmlns:c16="http://schemas.microsoft.com/office/drawing/2014/chart" uri="{C3380CC4-5D6E-409C-BE32-E72D297353CC}">
              <c16:uniqueId val="{00000001-55EC-489F-AE5A-EBEEF606F211}"/>
            </c:ext>
          </c:extLst>
        </c:ser>
        <c:ser>
          <c:idx val="2"/>
          <c:order val="1"/>
          <c:tx>
            <c:strRef>
              <c:f>'Equipment Inventory'!$AZ$10</c:f>
              <c:strCache>
                <c:ptCount val="1"/>
                <c:pt idx="0">
                  <c:v>Annual Natural Gas Use (therms)</c:v>
                </c:pt>
              </c:strCache>
            </c:strRef>
          </c:tx>
          <c:spPr>
            <a:solidFill>
              <a:schemeClr val="accent2"/>
            </a:solidFill>
            <a:ln>
              <a:noFill/>
            </a:ln>
            <a:effectLst/>
          </c:spPr>
          <c:invertIfNegative val="0"/>
          <c:val>
            <c:numRef>
              <c:f>'Equipment Inventory'!$BA$11:$BA$14</c:f>
              <c:numCache>
                <c:formatCode>0%</c:formatCode>
                <c:ptCount val="4"/>
                <c:pt idx="0">
                  <c:v>0</c:v>
                </c:pt>
                <c:pt idx="1">
                  <c:v>0</c:v>
                </c:pt>
                <c:pt idx="2">
                  <c:v>0</c:v>
                </c:pt>
                <c:pt idx="3">
                  <c:v>0</c:v>
                </c:pt>
              </c:numCache>
            </c:numRef>
          </c:val>
          <c:extLst>
            <c:ext xmlns:c16="http://schemas.microsoft.com/office/drawing/2014/chart" uri="{C3380CC4-5D6E-409C-BE32-E72D297353CC}">
              <c16:uniqueId val="{00000001-4009-4B86-B930-CA60949FEFE5}"/>
            </c:ext>
          </c:extLst>
        </c:ser>
        <c:ser>
          <c:idx val="1"/>
          <c:order val="2"/>
          <c:tx>
            <c:strRef>
              <c:f>'Equipment Inventory'!$BB$10</c:f>
              <c:strCache>
                <c:ptCount val="1"/>
                <c:pt idx="0">
                  <c:v>Annual Purchased Steam Use (lbs District Steam)</c:v>
                </c:pt>
              </c:strCache>
            </c:strRef>
          </c:tx>
          <c:spPr>
            <a:solidFill>
              <a:schemeClr val="bg1">
                <a:lumMod val="50000"/>
              </a:schemeClr>
            </a:solidFill>
            <a:ln>
              <a:solidFill>
                <a:schemeClr val="bg1">
                  <a:lumMod val="50000"/>
                </a:schemeClr>
              </a:solidFill>
            </a:ln>
            <a:effectLst/>
          </c:spPr>
          <c:invertIfNegative val="0"/>
          <c:cat>
            <c:strRef>
              <c:f>'Equipment Inventory'!$AM$11:$AM$14</c:f>
              <c:strCache>
                <c:ptCount val="4"/>
                <c:pt idx="0">
                  <c:v>1 to 5</c:v>
                </c:pt>
                <c:pt idx="1">
                  <c:v>6 to 10</c:v>
                </c:pt>
                <c:pt idx="2">
                  <c:v>11 to 15</c:v>
                </c:pt>
                <c:pt idx="3">
                  <c:v>16+</c:v>
                </c:pt>
              </c:strCache>
            </c:strRef>
          </c:cat>
          <c:val>
            <c:numRef>
              <c:f>'Equipment Inventory'!$BC$11:$BC$14</c:f>
              <c:numCache>
                <c:formatCode>0%</c:formatCode>
                <c:ptCount val="4"/>
                <c:pt idx="0">
                  <c:v>1</c:v>
                </c:pt>
                <c:pt idx="1">
                  <c:v>0</c:v>
                </c:pt>
                <c:pt idx="2">
                  <c:v>0</c:v>
                </c:pt>
                <c:pt idx="3">
                  <c:v>0</c:v>
                </c:pt>
              </c:numCache>
            </c:numRef>
          </c:val>
          <c:extLst>
            <c:ext xmlns:c16="http://schemas.microsoft.com/office/drawing/2014/chart" uri="{C3380CC4-5D6E-409C-BE32-E72D297353CC}">
              <c16:uniqueId val="{00000000-4009-4B86-B930-CA60949FEFE5}"/>
            </c:ext>
          </c:extLst>
        </c:ser>
        <c:ser>
          <c:idx val="3"/>
          <c:order val="3"/>
          <c:tx>
            <c:strRef>
              <c:f>'Equipment Inventory'!$BD$10</c:f>
              <c:strCache>
                <c:ptCount val="1"/>
                <c:pt idx="0">
                  <c:v>Annual Purchased Chilled Water Use (MMBtu)</c:v>
                </c:pt>
              </c:strCache>
            </c:strRef>
          </c:tx>
          <c:spPr>
            <a:solidFill>
              <a:schemeClr val="accent4"/>
            </a:solidFill>
            <a:ln>
              <a:noFill/>
            </a:ln>
            <a:effectLst/>
          </c:spPr>
          <c:invertIfNegative val="0"/>
          <c:val>
            <c:numRef>
              <c:f>'Equipment Inventory'!$BE$11:$BE$14</c:f>
              <c:numCache>
                <c:formatCode>0%</c:formatCode>
                <c:ptCount val="4"/>
                <c:pt idx="0">
                  <c:v>0</c:v>
                </c:pt>
                <c:pt idx="1">
                  <c:v>0</c:v>
                </c:pt>
                <c:pt idx="2">
                  <c:v>0</c:v>
                </c:pt>
                <c:pt idx="3">
                  <c:v>0</c:v>
                </c:pt>
              </c:numCache>
            </c:numRef>
          </c:val>
          <c:extLst>
            <c:ext xmlns:c16="http://schemas.microsoft.com/office/drawing/2014/chart" uri="{C3380CC4-5D6E-409C-BE32-E72D297353CC}">
              <c16:uniqueId val="{00000001-3021-4028-869D-856CABF14917}"/>
            </c:ext>
          </c:extLst>
        </c:ser>
        <c:ser>
          <c:idx val="4"/>
          <c:order val="4"/>
          <c:tx>
            <c:strRef>
              <c:f>'Equipment Inventory'!$BF$10</c:f>
              <c:strCache>
                <c:ptCount val="1"/>
                <c:pt idx="0">
                  <c:v>Annual Purchased Hot Water Use (MMBtu)</c:v>
                </c:pt>
              </c:strCache>
            </c:strRef>
          </c:tx>
          <c:spPr>
            <a:solidFill>
              <a:schemeClr val="accent5"/>
            </a:solidFill>
            <a:ln>
              <a:noFill/>
            </a:ln>
            <a:effectLst/>
          </c:spPr>
          <c:invertIfNegative val="0"/>
          <c:val>
            <c:numRef>
              <c:f>'Equipment Inventory'!$BG$11:$BG$14</c:f>
              <c:numCache>
                <c:formatCode>0%</c:formatCode>
                <c:ptCount val="4"/>
                <c:pt idx="0">
                  <c:v>0</c:v>
                </c:pt>
                <c:pt idx="1">
                  <c:v>0</c:v>
                </c:pt>
                <c:pt idx="2">
                  <c:v>0</c:v>
                </c:pt>
                <c:pt idx="3">
                  <c:v>0</c:v>
                </c:pt>
              </c:numCache>
            </c:numRef>
          </c:val>
          <c:extLst>
            <c:ext xmlns:c16="http://schemas.microsoft.com/office/drawing/2014/chart" uri="{C3380CC4-5D6E-409C-BE32-E72D297353CC}">
              <c16:uniqueId val="{00000002-3021-4028-869D-856CABF14917}"/>
            </c:ext>
          </c:extLst>
        </c:ser>
        <c:ser>
          <c:idx val="5"/>
          <c:order val="5"/>
          <c:tx>
            <c:strRef>
              <c:f>'Equipment Inventory'!$BH$10</c:f>
              <c:strCache>
                <c:ptCount val="1"/>
                <c:pt idx="0">
                  <c:v>Annual Fuel Oil Use (gallons (Fuel Oil #2))</c:v>
                </c:pt>
              </c:strCache>
            </c:strRef>
          </c:tx>
          <c:spPr>
            <a:solidFill>
              <a:schemeClr val="accent6"/>
            </a:solidFill>
            <a:ln>
              <a:noFill/>
            </a:ln>
            <a:effectLst/>
          </c:spPr>
          <c:invertIfNegative val="0"/>
          <c:val>
            <c:numRef>
              <c:f>'Equipment Inventory'!$BI$11:$BI$14</c:f>
              <c:numCache>
                <c:formatCode>0%</c:formatCode>
                <c:ptCount val="4"/>
                <c:pt idx="0">
                  <c:v>0</c:v>
                </c:pt>
                <c:pt idx="1">
                  <c:v>0</c:v>
                </c:pt>
                <c:pt idx="2">
                  <c:v>0</c:v>
                </c:pt>
                <c:pt idx="3">
                  <c:v>0</c:v>
                </c:pt>
              </c:numCache>
            </c:numRef>
          </c:val>
          <c:extLst>
            <c:ext xmlns:c16="http://schemas.microsoft.com/office/drawing/2014/chart" uri="{C3380CC4-5D6E-409C-BE32-E72D297353CC}">
              <c16:uniqueId val="{00000003-3021-4028-869D-856CABF14917}"/>
            </c:ext>
          </c:extLst>
        </c:ser>
        <c:ser>
          <c:idx val="6"/>
          <c:order val="6"/>
          <c:tx>
            <c:strRef>
              <c:f>'Equipment Inventory'!$BJ$10</c:f>
              <c:strCache>
                <c:ptCount val="1"/>
                <c:pt idx="0">
                  <c:v>Annual Propane Use (gallons (Propane))</c:v>
                </c:pt>
              </c:strCache>
            </c:strRef>
          </c:tx>
          <c:spPr>
            <a:solidFill>
              <a:schemeClr val="accent1">
                <a:lumMod val="60000"/>
              </a:schemeClr>
            </a:solidFill>
            <a:ln>
              <a:noFill/>
            </a:ln>
            <a:effectLst/>
          </c:spPr>
          <c:invertIfNegative val="0"/>
          <c:val>
            <c:numRef>
              <c:f>'Equipment Inventory'!$BK$11:$BK$14</c:f>
              <c:numCache>
                <c:formatCode>0%</c:formatCode>
                <c:ptCount val="4"/>
                <c:pt idx="0">
                  <c:v>0</c:v>
                </c:pt>
                <c:pt idx="1">
                  <c:v>0</c:v>
                </c:pt>
                <c:pt idx="2">
                  <c:v>0</c:v>
                </c:pt>
                <c:pt idx="3">
                  <c:v>0</c:v>
                </c:pt>
              </c:numCache>
            </c:numRef>
          </c:val>
          <c:extLst>
            <c:ext xmlns:c16="http://schemas.microsoft.com/office/drawing/2014/chart" uri="{C3380CC4-5D6E-409C-BE32-E72D297353CC}">
              <c16:uniqueId val="{00000004-3021-4028-869D-856CABF14917}"/>
            </c:ext>
          </c:extLst>
        </c:ser>
        <c:ser>
          <c:idx val="7"/>
          <c:order val="7"/>
          <c:tx>
            <c:strRef>
              <c:f>'Equipment Inventory'!$BL$10</c:f>
              <c:strCache>
                <c:ptCount val="1"/>
                <c:pt idx="0">
                  <c:v>Annual Coal Use (short ton (coal))</c:v>
                </c:pt>
              </c:strCache>
            </c:strRef>
          </c:tx>
          <c:spPr>
            <a:solidFill>
              <a:schemeClr val="accent2">
                <a:lumMod val="60000"/>
              </a:schemeClr>
            </a:solidFill>
            <a:ln>
              <a:noFill/>
            </a:ln>
            <a:effectLst/>
          </c:spPr>
          <c:invertIfNegative val="0"/>
          <c:val>
            <c:numRef>
              <c:f>'Equipment Inventory'!$BM$11:$BM$14</c:f>
              <c:numCache>
                <c:formatCode>0%</c:formatCode>
                <c:ptCount val="4"/>
                <c:pt idx="0">
                  <c:v>0</c:v>
                </c:pt>
                <c:pt idx="1">
                  <c:v>0</c:v>
                </c:pt>
                <c:pt idx="2">
                  <c:v>0</c:v>
                </c:pt>
                <c:pt idx="3">
                  <c:v>0</c:v>
                </c:pt>
              </c:numCache>
            </c:numRef>
          </c:val>
          <c:extLst>
            <c:ext xmlns:c16="http://schemas.microsoft.com/office/drawing/2014/chart" uri="{C3380CC4-5D6E-409C-BE32-E72D297353CC}">
              <c16:uniqueId val="{00000005-3021-4028-869D-856CABF14917}"/>
            </c:ext>
          </c:extLst>
        </c:ser>
        <c:dLbls>
          <c:showLegendKey val="0"/>
          <c:showVal val="0"/>
          <c:showCatName val="0"/>
          <c:showSerName val="0"/>
          <c:showPercent val="0"/>
          <c:showBubbleSize val="0"/>
        </c:dLbls>
        <c:gapWidth val="150"/>
        <c:axId val="518989104"/>
        <c:axId val="518984792"/>
        <c:extLst/>
      </c:barChart>
      <c:catAx>
        <c:axId val="518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8984792"/>
        <c:crosses val="autoZero"/>
        <c:auto val="1"/>
        <c:lblAlgn val="ctr"/>
        <c:lblOffset val="100"/>
        <c:noMultiLvlLbl val="0"/>
      </c:catAx>
      <c:valAx>
        <c:axId val="51898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91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Percentage of Carbon Emissions by Equipment RUL</a:t>
            </a:r>
          </a:p>
        </c:rich>
      </c:tx>
      <c:layout>
        <c:manualLayout>
          <c:xMode val="edge"/>
          <c:yMode val="edge"/>
          <c:x val="0.26066197920168505"/>
          <c:y val="1.5575834581984761E-2"/>
        </c:manualLayout>
      </c:layout>
      <c:overlay val="0"/>
      <c:spPr>
        <a:noFill/>
        <a:ln>
          <a:noFill/>
        </a:ln>
        <a:effectLst/>
      </c:spPr>
    </c:title>
    <c:autoTitleDeleted val="0"/>
    <c:plotArea>
      <c:layout>
        <c:manualLayout>
          <c:layoutTarget val="inner"/>
          <c:xMode val="edge"/>
          <c:yMode val="edge"/>
          <c:x val="7.2831213406016559E-2"/>
          <c:y val="0.11295846420331623"/>
          <c:w val="0.89383545326065006"/>
          <c:h val="0.79930431416599323"/>
        </c:manualLayout>
      </c:layout>
      <c:barChart>
        <c:barDir val="col"/>
        <c:grouping val="stacked"/>
        <c:varyColors val="0"/>
        <c:ser>
          <c:idx val="0"/>
          <c:order val="0"/>
          <c:tx>
            <c:v>Tenant Equipment</c:v>
          </c:tx>
          <c:spPr>
            <a:solidFill>
              <a:schemeClr val="accent1"/>
            </a:solidFill>
            <a:ln>
              <a:noFill/>
            </a:ln>
            <a:effectLst/>
          </c:spPr>
          <c:invertIfNegative val="0"/>
          <c:cat>
            <c:strRef>
              <c:f>'Equipment Inventory'!$AM$11:$AM$14</c:f>
              <c:strCache>
                <c:ptCount val="4"/>
                <c:pt idx="0">
                  <c:v>1 to 5</c:v>
                </c:pt>
                <c:pt idx="1">
                  <c:v>6 to 10</c:v>
                </c:pt>
                <c:pt idx="2">
                  <c:v>11 to 15</c:v>
                </c:pt>
                <c:pt idx="3">
                  <c:v>16+</c:v>
                </c:pt>
              </c:strCache>
              <c:extLst xmlns:c15="http://schemas.microsoft.com/office/drawing/2012/chart"/>
            </c:strRef>
          </c:cat>
          <c:val>
            <c:numRef>
              <c:f>'Equipment Inventory'!$AU$11:$AU$14</c:f>
              <c:numCache>
                <c:formatCode>0%</c:formatCode>
                <c:ptCount val="4"/>
                <c:pt idx="0">
                  <c:v>0.12643635712175402</c:v>
                </c:pt>
                <c:pt idx="1">
                  <c:v>5.0574542848701616E-2</c:v>
                </c:pt>
                <c:pt idx="2">
                  <c:v>7.5861814273052428E-2</c:v>
                </c:pt>
                <c:pt idx="3">
                  <c:v>0</c:v>
                </c:pt>
              </c:numCache>
            </c:numRef>
          </c:val>
          <c:extLst xmlns:c15="http://schemas.microsoft.com/office/drawing/2012/chart">
            <c:ext xmlns:c16="http://schemas.microsoft.com/office/drawing/2014/chart" uri="{C3380CC4-5D6E-409C-BE32-E72D297353CC}">
              <c16:uniqueId val="{00000000-262D-4F90-8BE5-B8298ED0313E}"/>
            </c:ext>
          </c:extLst>
        </c:ser>
        <c:ser>
          <c:idx val="1"/>
          <c:order val="1"/>
          <c:tx>
            <c:v>Owner Equipment</c:v>
          </c:tx>
          <c:spPr>
            <a:solidFill>
              <a:schemeClr val="accent6"/>
            </a:solidFill>
            <a:ln>
              <a:noFill/>
            </a:ln>
            <a:effectLst/>
          </c:spPr>
          <c:invertIfNegative val="0"/>
          <c:cat>
            <c:strRef>
              <c:f>'Equipment Inventory'!$AM$11:$AM$14</c:f>
              <c:strCache>
                <c:ptCount val="4"/>
                <c:pt idx="0">
                  <c:v>1 to 5</c:v>
                </c:pt>
                <c:pt idx="1">
                  <c:v>6 to 10</c:v>
                </c:pt>
                <c:pt idx="2">
                  <c:v>11 to 15</c:v>
                </c:pt>
                <c:pt idx="3">
                  <c:v>16+</c:v>
                </c:pt>
              </c:strCache>
            </c:strRef>
          </c:cat>
          <c:val>
            <c:numRef>
              <c:f>'Equipment Inventory'!$AW$11:$AW$14</c:f>
              <c:numCache>
                <c:formatCode>0%</c:formatCode>
                <c:ptCount val="4"/>
                <c:pt idx="0">
                  <c:v>0.59540365721038691</c:v>
                </c:pt>
                <c:pt idx="1">
                  <c:v>0.15172362854610483</c:v>
                </c:pt>
                <c:pt idx="2">
                  <c:v>0</c:v>
                </c:pt>
                <c:pt idx="3">
                  <c:v>0</c:v>
                </c:pt>
              </c:numCache>
            </c:numRef>
          </c:val>
          <c:extLst>
            <c:ext xmlns:c16="http://schemas.microsoft.com/office/drawing/2014/chart" uri="{C3380CC4-5D6E-409C-BE32-E72D297353CC}">
              <c16:uniqueId val="{00000001-262D-4F90-8BE5-B8298ED0313E}"/>
            </c:ext>
          </c:extLst>
        </c:ser>
        <c:dLbls>
          <c:showLegendKey val="0"/>
          <c:showVal val="0"/>
          <c:showCatName val="0"/>
          <c:showSerName val="0"/>
          <c:showPercent val="0"/>
          <c:showBubbleSize val="0"/>
        </c:dLbls>
        <c:gapWidth val="150"/>
        <c:overlap val="100"/>
        <c:axId val="518989104"/>
        <c:axId val="518984792"/>
        <c:extLst/>
      </c:barChart>
      <c:catAx>
        <c:axId val="518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8984792"/>
        <c:crosses val="autoZero"/>
        <c:auto val="1"/>
        <c:lblAlgn val="ctr"/>
        <c:lblOffset val="100"/>
        <c:noMultiLvlLbl val="0"/>
      </c:catAx>
      <c:valAx>
        <c:axId val="51898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989104"/>
        <c:crosses val="autoZero"/>
        <c:crossBetween val="between"/>
      </c:valAx>
    </c:plotArea>
    <c:legend>
      <c:legendPos val="t"/>
      <c:overlay val="0"/>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http://www.kw-engineering.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hyperlink" Target="http://www.kw-engineering.com/" TargetMode="Externa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8</xdr:col>
      <xdr:colOff>65158</xdr:colOff>
      <xdr:row>45</xdr:row>
      <xdr:rowOff>61281</xdr:rowOff>
    </xdr:from>
    <xdr:to>
      <xdr:col>15</xdr:col>
      <xdr:colOff>925286</xdr:colOff>
      <xdr:row>72</xdr:row>
      <xdr:rowOff>14175</xdr:rowOff>
    </xdr:to>
    <xdr:graphicFrame macro="">
      <xdr:nvGraphicFramePr>
        <xdr:cNvPr id="10" name="Chart 9">
          <a:extLst>
            <a:ext uri="{FF2B5EF4-FFF2-40B4-BE49-F238E27FC236}">
              <a16:creationId xmlns:a16="http://schemas.microsoft.com/office/drawing/2014/main" id="{925BEBE1-C318-407F-8ACF-6D7024551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3814</xdr:colOff>
      <xdr:row>45</xdr:row>
      <xdr:rowOff>62998</xdr:rowOff>
    </xdr:from>
    <xdr:to>
      <xdr:col>8</xdr:col>
      <xdr:colOff>13607</xdr:colOff>
      <xdr:row>72</xdr:row>
      <xdr:rowOff>22177</xdr:rowOff>
    </xdr:to>
    <xdr:graphicFrame macro="">
      <xdr:nvGraphicFramePr>
        <xdr:cNvPr id="4" name="Chart 3">
          <a:extLst>
            <a:ext uri="{FF2B5EF4-FFF2-40B4-BE49-F238E27FC236}">
              <a16:creationId xmlns:a16="http://schemas.microsoft.com/office/drawing/2014/main" id="{524EFFFB-E464-45A6-A982-5B6434CB6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65766</xdr:colOff>
      <xdr:row>21</xdr:row>
      <xdr:rowOff>45768</xdr:rowOff>
    </xdr:from>
    <xdr:to>
      <xdr:col>15</xdr:col>
      <xdr:colOff>925286</xdr:colOff>
      <xdr:row>45</xdr:row>
      <xdr:rowOff>9167</xdr:rowOff>
    </xdr:to>
    <xdr:graphicFrame macro="">
      <xdr:nvGraphicFramePr>
        <xdr:cNvPr id="6" name="Chart 5">
          <a:extLst>
            <a:ext uri="{FF2B5EF4-FFF2-40B4-BE49-F238E27FC236}">
              <a16:creationId xmlns:a16="http://schemas.microsoft.com/office/drawing/2014/main" id="{C3B93DBE-B62D-46C6-89F8-E6930320C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4082</xdr:colOff>
      <xdr:row>21</xdr:row>
      <xdr:rowOff>45768</xdr:rowOff>
    </xdr:from>
    <xdr:to>
      <xdr:col>8</xdr:col>
      <xdr:colOff>13607</xdr:colOff>
      <xdr:row>45</xdr:row>
      <xdr:rowOff>24452</xdr:rowOff>
    </xdr:to>
    <xdr:graphicFrame macro="">
      <xdr:nvGraphicFramePr>
        <xdr:cNvPr id="5" name="Chart 4">
          <a:extLst>
            <a:ext uri="{FF2B5EF4-FFF2-40B4-BE49-F238E27FC236}">
              <a16:creationId xmlns:a16="http://schemas.microsoft.com/office/drawing/2014/main" id="{BB060821-E919-41B5-BC1C-8009AE451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182963</xdr:colOff>
      <xdr:row>4</xdr:row>
      <xdr:rowOff>0</xdr:rowOff>
    </xdr:from>
    <xdr:to>
      <xdr:col>10</xdr:col>
      <xdr:colOff>172077</xdr:colOff>
      <xdr:row>25</xdr:row>
      <xdr:rowOff>94435</xdr:rowOff>
    </xdr:to>
    <xdr:pic>
      <xdr:nvPicPr>
        <xdr:cNvPr id="27" name="image1.png">
          <a:extLst>
            <a:ext uri="{FF2B5EF4-FFF2-40B4-BE49-F238E27FC236}">
              <a16:creationId xmlns:a16="http://schemas.microsoft.com/office/drawing/2014/main" id="{A306B0A3-220F-45DA-9158-68BF77C1C3E1}"/>
            </a:ext>
          </a:extLst>
        </xdr:cNvPr>
        <xdr:cNvPicPr/>
      </xdr:nvPicPr>
      <xdr:blipFill>
        <a:blip xmlns:r="http://schemas.openxmlformats.org/officeDocument/2006/relationships" r:embed="rId1"/>
        <a:srcRect/>
        <a:stretch>
          <a:fillRect/>
        </a:stretch>
      </xdr:blipFill>
      <xdr:spPr>
        <a:xfrm>
          <a:off x="182963" y="975668"/>
          <a:ext cx="6738641" cy="3859611"/>
        </a:xfrm>
        <a:prstGeom prst="rect">
          <a:avLst/>
        </a:prstGeom>
        <a:ln/>
      </xdr:spPr>
    </xdr:pic>
    <xdr:clientData/>
  </xdr:twoCellAnchor>
  <xdr:twoCellAnchor editAs="oneCell">
    <xdr:from>
      <xdr:col>0</xdr:col>
      <xdr:colOff>145678</xdr:colOff>
      <xdr:row>24</xdr:row>
      <xdr:rowOff>135862</xdr:rowOff>
    </xdr:from>
    <xdr:to>
      <xdr:col>10</xdr:col>
      <xdr:colOff>268941</xdr:colOff>
      <xdr:row>47</xdr:row>
      <xdr:rowOff>48634</xdr:rowOff>
    </xdr:to>
    <xdr:pic>
      <xdr:nvPicPr>
        <xdr:cNvPr id="28" name="image2.png">
          <a:extLst>
            <a:ext uri="{FF2B5EF4-FFF2-40B4-BE49-F238E27FC236}">
              <a16:creationId xmlns:a16="http://schemas.microsoft.com/office/drawing/2014/main" id="{375FB606-DE77-4B73-AD10-5D8C3ADA4BDB}"/>
            </a:ext>
          </a:extLst>
        </xdr:cNvPr>
        <xdr:cNvPicPr/>
      </xdr:nvPicPr>
      <xdr:blipFill>
        <a:blip xmlns:r="http://schemas.openxmlformats.org/officeDocument/2006/relationships" r:embed="rId2"/>
        <a:srcRect/>
        <a:stretch>
          <a:fillRect/>
        </a:stretch>
      </xdr:blipFill>
      <xdr:spPr>
        <a:xfrm>
          <a:off x="145678" y="4775097"/>
          <a:ext cx="6880410" cy="4032727"/>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0</xdr:colOff>
      <xdr:row>386</xdr:row>
      <xdr:rowOff>0</xdr:rowOff>
    </xdr:from>
    <xdr:ext cx="304800" cy="287482"/>
    <xdr:sp macro="" textlink="">
      <xdr:nvSpPr>
        <xdr:cNvPr id="5" name="AutoShape 1" descr="data:image/png;base64,iVBORw0KGgoAAAANSUhEUgAAAjQAAAG/CAYAAABPFE2FAAAgAElEQVR4XuydBViX1xfHP3SXgAiKXVizu6ZO58KaPefsBEHAFgXBxO6cm06nzprdXbNmYM3EQEW64wf8n/si/g0QVNLd+zw8m/C+5573e+577/c959xz1ZKSkpKQTSIgEZAISAQkAhIBiUAeRkBNEpo8bD2pukRAIiARkAhIBCQCCgKS0MiBIBGQCEgEJAISAYlAnkdAEpo8b0L5ABIBiYBEQCIgEZAISEIjx4BEQCIgEZAISAQkAnkeAUlo8rwJ5QNIBCQCEgGJgERAIiAJjRwDEgGJgERAIiARkAjkeQQkocnzJpQPIBHI3QikXRkiicSEBBCFI9TVUVdXR01NLdWHETKSr81AlQk1UNfQQE1NPQ1gkkgQshIzJktNXUPRLa2WmJhAUmJi8nOk09Q03i8rKSmRRFVCemKUv6sJzDQ03nNtEgkqVYb0Ql0NDUVW6viLThISVBnDTF2YUzNNWwpZiQkqkjKIvzIu1NN+zsTERJISX46j9PBPB7NkWcKWGTCmOmhoaKXZ44eNWbWXYzYT8FcTY+PNcZbWO5jW+5ahAZgLL5KEJhcaRaokEfgcEBCLc2R4OP4BLwh4/hx//xcEBwcTEhxEaFg4kdExxMVEK49aulQJfu7dD11d3VQfPSAggCULFxIcHER6pbPyW1rQvWdPrG0KpSorOjqK9X+s5ZrPNcQC9r5mZGREl27dKFOmbKqXqVQqTp84xo7tO1AJkvSepq6mRuMmX/Lt963TJG0+V6+yauUvJGZgQa1VqybtO3ZOk9RERoThNcGTuLi4dIdT8eLF6d2vf5r4CwEL5s7m/v0H6eIvMOvZuzdFihZLtd/4+Hg2/bmBC+fPp4u/trY2bdu1o2btOqnKEmTy0sULbFi/ASH3fU1DQ50GDRvxfes2aeIf8MKfBXPnEh4RkS5mRsZGuI1zR0NTM/Ux++IFSxcvIjAwMF1Z5ubmDBpsj2m+fKleGxsTxbLFi7n/wDddWcYmJvTo2ZPCRYoopD4iPIzFixaio62NiakppqZmFLDKj4WlFVYF8qNvYPRe8pluh7noAklocpExpCoSgc8JAb8nj5gzYzoX/7lMSGg4YvEXBCLlRxCTFHJSs0YV5i9ehlgMU2sPHz6kd89e+D15ku4iWLxYYWbNmU3psuVTlRUeFsrY0aM4dOiootP7moWFBVOmTaVe/fppLs7rfl/F9BmziIt7/4IqPA29+/RkqMuwVBcQgcvBgwdxchiS7jMKZdq3b4v7BK80F9SQQH+aNm1BVFRUusOqRo3qLFi8CEPDtBe37l07c/7CpXQJjaWlBXPnz+OLylVSfc7YmBg83N3Zvm17uvjr6+szdswo2nbomCah3LNzO25u7sTExLz3ObW0tPipezdch49IE/+Hvvfp/mM3XgQEvVeW8GyIsXHw8CG0tLVTvdbX15d+vfsgxm56zda2EL+tXkUBa5tUdYuKCKVfn35cuHgpPVFYWeVnzty5VKhUSfG6Pfa9T7t2HYiOjlY8jeJHU1MDI0NDalSvSomSpShoa0vhwoWxtimoPBdpeErT7TyHL5CEJocNILuXCHyuCNy7e4efunYjKDj41SOKhUBbWwuxuIjJVl1dA319XcqXL8vkaTPQ1zdIFQ4/Pz9GDnflhb8/iemEKmwLWeM23p0ixUqmKisqMoKZ3lM5dfoMCQnv99CYmZkyfNRoqlatluaCumPbFpYvW058fNrkSKwP4tk7duxAz979Ul0wBLk7dfIkXhPc031GoUzLli1wcHJ5GSp6V73w0CC6de1GTGzs+xdnoGLFCnhMnIyenl6aX+vDhg7hqs/1dAlNPjNT3D09KVPWLtUQlvAYzZszm0MHDqTr1dLT02Xw4MF89fU3qT6DCB0eP3KQGTNmpksoxSLetm1bevcbkOozCvyfPfXD2dGeoOCwdAgN5MuXj1Vr/kAzDQ/NUz8/Ro0YxtOnz9J9xW2sC+A9cybmFvlT1S0mKpzRI0dy7frNdGWZm+djnLsHpcuUVcjLrZs36NOrN+Hh4YoX6+33R7yLBvr6GBgaULtWTdw8PNDRSd1Tmm7nOXyBJDQ5bADZvUQgLyIgvByxsbHkM7dIM78kIOAF7m7jCAoMxNDISPG+mOUzo3zZEpQsWQrz/NbovXR3i9CCjo5OmouzCC1ERUUn53Gk0wRREqErTc3U8xuEJ0R8zatU8ekuzoJw6eropPkVLhbBuLhYYmIEaUg/70LoldZiIWQJncRzZkSWtraO8pxp5UGInKPIqMgMeXsEVkJWch5N6i0yMiJdj4q4U0NDU7GlWChTa+I5Y6KjlcU1KR3MRMhEyBI/ackSBEnYIL3woRpqih0FaUurCZ3E2BDjLb0mntPAwCBN/AXZEl6RjIxZMc4EqUgrJ0pgFh0VRbzq/V5AobMgMXp6+ootxdiIiY7i0YM7iHCmz/V/CQsLV0Jq4WFhBAUFKSGxiIgIJW2oUcP6zF24EDG28mKThCYvWk3qLBHIAQRU8fGEhYdz5Z+LHD50iMREFaPd3NHT109VG3F9QGCAkmaqo6urLCRaWtqpLgAZTU5ML39GKJJRWYI0pJeqklFZGdEro7plpizRZ0bkZeZzZqasjGKWkefMqF4ZkZWZemWHrJQxIP6boIonOiaG6KhowsJCuHLpMlevXsHX9yHVq1dj8BCnNGeXlDDx+5Lkc2BqetWlJDQ5ib7sWyKQBxAQX63Pnz1l184dHDl8lPv37xMeHoGxkSFTvafSoGHjPBtzzwPwSxUlAlmKgCAp8XGxhIeFK/lYpmZmqfaXHJJ7wulTp6lVuzb5rQqk6YXLUoXfI1wSmpxCXvYrEcjlCAiXeUhwILt37mLL5s3cvnMXlSpBcWkLV3uVypXo07cP1WrUUrYQyyYRkAh8vgjEx8Wxbu0q5s9fTP78+WnduhXftWqFpWX+NBPTsxsNSWiyG3HZn0QglyMgtluL/JhDB/azY9t2Tp3+W9n6q6GujomJMQ0aNqBRo4bUb9QYAwPDDwjx5PIHl+pJBCQCaSIQEhyMi5MD587/8+rDpmqVL2jTrh1ft/wGPX2RUJ6zHzaS0MgBLBGQCLyBgAgveU+ZyKHDJ5SkRpFcqK+vR/16tenbvz+lytilmXAroZQISAQ+TwREiYO7t2+xYP58Tp/+W0mEF78zMNDn65bNGTjInvz5rdJMoM8OVCShyQ6UZR8SgTyEwDWfq9gPGqzsfjAxMaVZ08a069CB0qXLoqWtpWy1lk0iIBH47yEgdpKJZP8HD+6xeeMm9u8/oBTMFPk1ov7Nt9+0pPOPXZV6NjnhrZGE5r83JuUTSwTei4DYUrv2txXs3neQIY4O1KhZG1291HcySSglAhKB/yYCIqfG5+plli5ewslTp5U6TMKb27RpYzw8vTAxNcv2cLQkNP/NsSifWiKQJgLiays2Noaw0FDMRZ2Zl/UsJGQSAYmAROB1BMTGAXFcxOGD+1myZDkvXgRgYZ6PhYsWULZ8xfeegZYVSEpCkxWoSpkSAYmAREAiIBH4DyCQXBBSxd+nTrBw4SIqVarEUNdhytlR2X2EgiQ0/4EBJx9RIvA6Akp129hYJXkvtxbIkhaTCEgE8hYCwlvz9MljZQu3yKHJiSYJTU6gLvuUCOQQAoLMPHn0iPnzZtOoYQOaNP8mzbLyOaSi7FYiIBHIowikVCT+kKrMmfmoktBkJppSlkQgFyMgJpsXz58ywWMCx46dwMamAOPdx1O7bv1sT97LxTBJ1SQCEoE8ioAkNHnUcFJticCHICC2W4YEBeLp6cmRQ0eIi4+nVMnijHUbS/VadT5ElLxWIiARkAh8MAJiDgoLCyUuNg5zC4v3HoT6wcJf3iAJzcciJ++TCOQhBJ48foSLszPXr91QEvhq1qiG2/hxFC5SLEcLYeUhCKWqEgGJwEciIMiMKMrn6e5OfGISXpMmUrx4iUyvVSMJzUcaSN4mEcgLCIgwU3BQIN5TprBz1x7EQZN169Rm5JhRlChZShbJywtGlDpKBPI4AlFRkUyfOpnNm/4iXqXiyy8bMnnKVIxMTAC1THs6SWgyDUopSCKQ+xAQxa9+WbaYJUt/ISYmBhvrAkyaMolqNWqioaGZ+xSWGkkEJAKfHQKJiQncunGNYS4u3Lv/SDmlu2uXjjg4DUXfwDDTnlcSmkyDUgqSCOQuBIR3Zs/O7YwdO14hM8bGxgwb4cp337dGW9SIkE0iIBGQCGQTAmJb94Xz5xg7eix+fn5oaWni6upCx85dMi3sLQlNNhlTdiMRyE4EEhMSePDgPq7Ozty69S9mZmb07NmDbj//jI6O7kepIuLgCQkq5dwW2SQCEoG0EVBDDU0tLbl78C2I4uPjOHHsKBO9JuHn95TixYviMWECX1Spiqbmp3uMs53QJE+GckKUk8Hnh0By7YXMiwd/CkKCeNy6cZ1RI0by8NETnJyG0LFLF/Q+8kwm8d7e+fcmG9ZvQJz1JJtEQCKQOgJiHhC7eLp2+wnL/PklTK8hkFJV+K8tm/HynEhcXBylSpXE3cNdITWfWugzWwmNcDkdObCXJIXQ5I6JX442icCnIiBeUjG2v6hSjQLWNrnmq0zodeniefbv3Uuf/gPJZ27+0Y8qvDMnjx/F1WU4YWFhHy1H3igR+NwREISmaNGizFswT0m8l+1dBCIjI3B1cuTkqb+VXZctW7bAfcIEjIxFkvDHt2wlNIKNDR/qQKOmzRV3nGwSgc8BAUFm/j59hm+++Ya69etnSX2Fj8VJkJr4+Fi0tHQ+iWi9TWjEqbriJ6cqgn4sHvI+iUBWIiB2EYpWpEgRSWjeA7RIEr5/7x5uo0dz+YoPpqYmjHd3o+lXLT5ps0K2Ehph7JlTvHAaNhIdXb2sHFdStkQg2xAQRH3tmjWUKlmS2nXr5ipCk1kgvE1oKlQoT7sf2srk4swCWMrJ8wiI9W3Llr+45nONwoULS0KTAYtu/2srU6dMVfLyOnXqQJ/+/dHX//hdT5LQZAB0eYlE4H0I/BcJzdctv8bD0xNDw4+ffOSokgh8TghER0fj7jaOvXv3UqhQIUloMmBcZe5c/RtWVlY0+rIp+gYGGbgr7Uskofkk+OTNEgGUxLb/moemZcuWTPDyxNDISA4BiYBEABCEZtxYN/bu2SMJzQeMiASVCvVMCl9LQvMBwMtLJQKpIZAbCE3K7kE1NfUsMdLbISdJaLIEZik0DyMgCU3OG08Smpy3gdQgjyOQ04Qm+ZyUm4SHR1C8REmMTUw/efvj2yaRhCaPD1KpfpYjIAlNlkOcbgeS0KQLkbxAIvB+BHKa0ERGhDPBfTxHjx6jUaOGjBw9BlOzfJm6A0kSGvkWSATej4AkNDk/QiShyXkbSA3yOAI5SWjElvE9u7YzwcOTyMho6tatzaw5czHI5GRdSWjy+CCV6mc5ApLQZDnE6XYgCU26EMkLJAK510MTEhKMl4c7u3btRUdHh/4D+9Onb79MKSP++lNLQiPfAomA9NBkyxgQhUoTE4iMiFAqm2t9wLlzuZrQJCUlkpj47jEJaurqqCtl5nOmiQRMMcG/3UTZ5txSaEzo9+6ZO2qoq6tlmY5p9amhkTWJqu+1vrBRUlKqGGS2PjnmoUlK4p+L53F0cCQgMAi7sqWZt2A+1gVtM93GktDkzFwje807CEgPTebY6qnfE/bs2snZs+dwGupEGbvyGRaciwlNIncuHMHF0Y1Qdc1XxcrEAVZdB7nyc9vmGX7IzL0wkTMHdjDWbRIJ2rqvki81DUzpOWw87etXRDMnFvDXHjIhIZZfp4zlt12n3zggTcu6FMvnTKWQpWnmQgKoYmNYOmkkfxy4gLb2yyrQauoYlqrO5oUTs73YXFxUBBPHDOPg31fR0Xl5srSaOhXrN2PqWBd0UnTMBCRyitCIfmd4T2HN7+vQ1NRg+HBXOnXtliVYS0KTCQNFivisEZCEJnPMe+rEMdzGuBEYFESrVt8xzn1Chk8WyL2EJimByyf+YpjjTDo7DaH6F2UV7wJqalgWKIiVhVnmoPfBUhI4vG09XpMX4jhmLMWKFFROpVJT18SyoC0WJoYINXOyqVSRzB3jxKl7kQx1csDE+GXxMy09ShUvkqmLecpzxkVH4D3CngAta37u3hkN4a1CDXVdQ+xKFsl0j0F6+MaEhzDKyYFozYL0H9QFLXXhJVJD39iEooULZaqHL6cITeALf7p1/RHfh48oWrQwi5cswbZI0SzBWhKa9Eac/Pt/HQFJaDJnBDx76seoESM4c+Ys5ezKMnvuHAoVztgakrsJzfG/GOEyD9cZ3jSp/+kncaYF97uhmf9f+W4IKZnQTPFezsxlyylftnjmWDGDUnzOHGHN348Z278TBrqpn4elEJqxTlx6ps6smdMwz/dpB35lRLUUQpNkXYkRI5xeEoiM3Jk110SHBzPGaQja+aswwcsRbQ2NrOmInCusd/zIYZycnJXCfq1bf884dw+0dXSy5DklockSWKXQzwgBSWgyx5gxMdHMmj6D1at/x8jIkAke4/mq5bcZKkXxnyc0YpfIU98HRKkS3rGGmbkF5vnM3vqaz1lCc+yvP5i27y6rp7liZqCb6giShAY+d0ITFxfDvNmz+eWX35RkYA+PcXzbqjXq6llD3CShyZzJWkr5fBGQhCaTbJuUxIVzZxgyZChhoWE0bdqEKd7e6Oqlf/5jric0Qx2mUK9Na0qXEImO6mjpWdC6dVN0tbQIDwlF18gQrde+vhNVcYSGhmNoavrG76Mjw4mITcAy35v5I/Hx0cx1G8390BjeTj+u3/w72rdqidYbOTHJhGa8x2y+79KFAlYWCuGxsrGlUcN6aGlqZpJVUxeTUUIzZ8wQDlx+Tps2rTAwSB4IlarWpLxdKSUclNlNeGimjRjMrRANmjVtjIa6GhqaOjT5qin5zTO3JkpGdBeEZrSTPU9Ctfnm+8ZoqqujqaWrHB5ZxNYmU8MyORFyevzoIa7Ozly54kOVKl/gPWMG1jYFM/W5XsdZEpqMjDp5zX8ZAUloMs/6UVGRDHN25vDhoxQvXoxfVq7E0soq3fkt1xOaIYPciTc0RE9PJOBqUvOH3rj1bacQmj8WL6F2p/YUFUXElEwWiPK7z4IFK+nk4kjhfObJCCclcHLvVrZd8WfKsAFvgCKOMY8IDUMldgW9ZQ89fX30dHXfAjGZ0IwYOQkdU1N0dHUUV1iDr75jhPNg1BKi2TR1MjZtulO/UplPztVISkzk8qn9/Lp+O7HxKgKfPsE3KJoKpYuhralByRoNse/RGR3N/5MU4aGZM3oIa/dfxNjY5GWSqBbO4zxo0bBGuoQm8OlDli6Yy6OASJLeQkXJi1HToteAQVT5ouxL1CGZ0Axi64nrmJgYi1QnjM1tmDt3JgULWKY7EN/3KkSEhzJvmhcPX4Snepm2pjFDx7hQpED+V/2kEJrjF29hYmqkkGFTSxvGurvzRdnin6TP20rkBKG5cP6ccm7Mixcv6N69G4McHDPkkv3YKUcSmo9FTt73X0FAEprMs3RCgoo/1/2Bp+ck9PX1WLV6FWXsyqU7x+V6QjPMaTYOkzypV7OisjBrauuir6utLEjzPCbQdGA/ihkYoKmjp3hHwu5fx919OgOmTKS0tTXxsbGoVPEc2b6W304/Zu0s9zdASUxU8fTRI2LiE94hNKb5zMlnZppqyGni1MVMnDOPMiUKI7aRa2vroKurQ6IqlvM7NmHyRQNKF7NV7lXFxRKfmISuri4JsTHEJSQpRnrVxL77uCjiEjUU4vZ6E1vX71//h4NH/yZWlYDvLR9O3g2i3Vd10dXSpGApO75t3gTt17xIyUnBjpx/ksBELw/MTIwVkfqGBmhpaSkkRMgVL6CWti5amm+GKUKD/Nmz4y8ChNfq3V3zqKtr0fybbylZ3PaVqik5NDH5yuA4pD+aasJDo4muqCPwUr7oMy46EnUtPbS03u/JSlSpiIqORk/fgLiYKLZtWs+LkKhU3xhNTX3admpHfnOzVwQrmdAMAeOyjHYbgJaaOhqaWorbMkWfRFU8MfEq9DPgynzfq5oThCY2NoYnjx9x984dbAsXoaxducybTVKRJAlNlsIrhX8GCEhCk7lGPHXyBEPsHYiNjaVt628Z5zk53fpauZ7QvC8peM648ZT75iuuHdiPloU1P7TriF7kUzzcZyiEppCRNuuX/4pfRDRaqnAuBumydvb4NwhNXOwLnLv+zM2g6LcWbzVade3BoN7dUg05pZUUnKCK59LOjZhWrodBhD/XHvrz7O5NHsWo0ap1K64f2cn159G07dCB8iVsuXv6IM+TDLl97iABSUa079iZIoUKpMlEMxpyel9SsFjIL584wO6jpzHIZ4WxgSnfdvyB/Iap5+RkZJimlxQsPGHXzp3iwOEDaOgV5MeenVD5P+a0zwMafdWE6MD7nL7ynC9rV+DfW7cJfnCdo5fvUL9RM1q0aPzBobz35dAIYhXy/DE7Nm7hSWQ837ZpS/lSxdJl/2nhkBOEJiM2ycxrJKHJTDSlrM8RAUloMteqN29cZ/DAgfj5PSN//vxs3bYFs3wW7+0kTxOaWWNHEWFuTeUSRXh24ywh+iXp9lUVvCfPpf/Esfx7cBs+/mpULleEk/v38G+iFeveIjSq+BgunTlNQMS7hKZEGTtKFiv81kL3/qTguKhIVgzsSIleI8nnd5nlh2/QvEVT/O9fw+dhCE0a1SX86QOexGkzuG9PTswazoFwM5rUr0Xws/s8CganIf0x0E+dXGQGobl36SSzlm/gh3YtObVtK0mWZRjs2B9TQ/2PHpHvIzRJiQk8uXaGpet20bhpE55dOsH1aBOG9GjN2mWL0ShoR+KzfyndsDXlbExYNnc+ZWrUwdhAkzOHj9Nl5DgqFvywsNX7CE1igoqj2zew78J9vm/egPyFi1HMtmC6oThJaI7i6jKcsLAw5GnbH/2qyBs/UwQkoclcw77wf46jgz3//HMFExMTFi1eSJVq1fMqoUnkyom/cHX05rvevahYroQSvhG7OAoWLU7xwgWZ5+5B4/59sctvxbP7t5iz4Bd6dWvPsrlL6Td6EDtXLqV+j9HUKF2QPet+YdXfT94JOX24CRI4sn0DHl7z6OUwhMKFCigi1DS0KFy8NAVMdVk5qPNLQnOFI09h8KA++J4/xOozvrgM7k3s/XMs2LCLPgOGcn3pePxKNaFnp9YE+PkyZdpsxnt6YfoyTPS2fj5njvLnRT+G92qf5rbtBFUU88Y6cfhmMH369MT4JVFR09KnapWK3Dm7n8VbT+Pq0JPj61djVKY27X/49sOheO2O+OhIvEfa80hlQof2rdBQS677oqlnTPXKZTm8dh7HHqrRqfVXJITcZMGa40yYNpUk3ws4O4/GrF5bJroOQBX0lA3rNtK57wDMDbXZvGAiT6p2xqFRhQ8iHDHhoYweak+wypxu3VspScFCHyMzcyqULcXl0weZu3YPjv16ULJMGUwM9T86r0Z6aD5p6MibJQKfBQKS0GSuGUVYfcv6tWzcugMLc3N69OpJ7Tp18yihIYnn92+xdvUfhMQlKgX1RNPQ0KRus5Y0q1+DuePdqde3H19YW/H07hVmz19Fn+4dWDZvOX1GDWTXL8up32sUNUsWZNf6Faw++5Q/Zr0ZcvpwEyRx99pl1q/fRGzS/yvoaejo07BlG2qWLshv9v8nNMeeqzFoYB98zx3i93MPcRaE5u5Z5q/fSe8BTlxfMp7HJZvQp0sbXjy6y8Sps/CcPDVNQvOqZo5aShr0u08gPBAnd2/m4N8+b+QFqRvlZ0Dvnwi6fpJ5q7ZTyLYAOnomtPqhHaWKF/5wKF67IyE+liPbN3H04o3/EwM1NXQti+DUp7NCaA7ejaFz228Uj5eOniGlSpXk0YUDeM1YRL6yNRk+1B5Cn7Nu7Z906T8Qc0NN1s2cQEDVDjh8VZ0PObJAFRvNtj/Xc+nm3Tf0KVSqPN07tUEtIZ57d++w9881aJasTa9O36P3kdWDJaH5pKEjb5YIfBYISEKTuWYUa11kRDjh4REYmxgr5zqJteN9LfeGnDKAzaxxowklH11/asW9Ays4HlMW+xaV8Z46j/4TR3J+01qiTcryVf0qrF0+j8vR5qz9ZELzfsXeDDldIS1Cs2D9TnoNcOLqwtFse27ICNcBPL12gp0+obg5D8Dw9aThDGDxIZec2L6eX/eeoVfXjhgaGmBZwIb8FubKVuusaIJg3f97L4s2HsXecRCayjZ7TSxMdVkweTyWFevz8NLf1P6+E2ULmDJ74mSade9BiXx6LFr+Ow6jxlLEyjK5UnRmtKQkQoMCCY2I4JnPcdb7hDHWoQ9m+h9XlE4SmswwipQhEcjbCEhCk/P2y9OEZv2aNVib6XP01N+ExiQycKgLVmpR/LpyPa0H9EU3OoxfFi0kMkmX0tZmPFQzZeSgHumyvE8xiyomhp0zx2PzTVeMA+9xOUiNNq2/5dmti+y74U+ntt8S73eDzYdO8833P/DPgjEcjzNDTz2J+CQ1OvUcSLmiNh/kjfhQfc/s/ZNfd5+lS5vviXp8jZ1XXuDlPhzTNPJ2PlT+u9cnkRAbzd6//uTEpVvKWVdVajejpGkMB32e0r1Le55dP8vOEzdp2bIR21etxNhMj4dBcZSvWZ9OrVqiraX50SGht/URBOvKqaNs2XeYpER12vboTcXith99BpckNJ8+Qj4XCaLMgvAm55ZDanMLruJrOz4uTtn5mNYhvqLIqbhO/D29L/Hc8lyv6yEJTc5bJU8TmlfhF3GqsqiPIr7glf9PpYn9x9k00SiTmqJLsh7K5PZSr///fxKJcbHs9x7Bs9JN6dYuubSz+HtWT4a7/1jOoWvP6dSmBc8e3ODszQAch/TD3NggS0fk6/ZKCSGm4JPyt+e+d9m4bhOd+vbD3Mwky/AQ/aX0+amYZyehESUIApzoU3kAACAASURBVPyfY6DUZjJQFoisHi/CRnltl5PQNzQ4iCd+TxU7izpEhWwLKcmFWYWXWLDPnz6FmZU1pUuXUt5nSXCSp5TQkGB+XbaERl+1pFKliqkSlhuXz3HmwlU6d+mC3ieWUsjSiSwN4ZLQ5ATqb/aZpwlNzsP3aRokxsdxfd9mwqzKUKda5SybaN/WMjzQn/Mnj3D22j0sipakWeOGFP7E4nefhsT/7w4N8Oef8xep1qAhRgYfv+sqs/TJiJzsJDSPHz5gmIsLCYlJ1KlbD/shQ5TaQlnd8hKhSVCpuHLxLN5Tp/P46TMSk1AW0LIVKjJxkhfmZmZZ4gHwf/qYbl268VPvvnTp0klJYr988Twm5vkpWjRjh+tltR1zSv7DB/fo2bULHt6zqVun1jv4C9K5Zsl8/n3kz4gxozHIwpB7VmEgCU1WIZtxuZLQZByrzL8yKYnEpESSktSyNMT0tuKiDotw7yYmii9X0bdGlkzwHwOY0C3lizqrvqQ/Rq/33ZOdhObqpQsMGuRAcHAIrVp9i4enF1raH5f78yE45BVCo2zJ37+beQsWU7VmXdr90I6iRWw5fnA/i5YsRd3MmhXzZ2FmaqKMs5QQh/CkCIdqRrx1aXn3REXrTX9soG6zphQvUoSAx3cYbD+Udl2607Fje+U9SxnTGfUQvn5wbvJ78X8P7isZL73Pr4dp3r4vxRP69julyHgtTCb+/jouKWNE2P9NbJJezR//f6ZEkgR7TNFR6CuSOJOSuHb5Aj16DGDl2t+xK1PqlayUe0X9rknjx2JqU5T+/foqIeYUz6BSIOylzNw8J0hC8yEzStZcKwlN1uAqpf6HEMhOQnPi6GFcXYcTGhpGtx87M2LMWDQ1pYdGDDexED95cJthQ10pX7Mezk4OSuhCLIKq+Fg2/LaUuYtXs2TFCr74oiKB/s958vQZZcqW5eFtH/wCwilV1g5rq/8foZHaMI6NicHn6hUio6KxsS1MiWJFlctEiOvWv7epUKkSEcEv2LVtG7+sXEPrjp2pX68WFStVwsAgOawbEhyIj881hRSI/kXhsNTIxnO/Jzx/EUCx4kW5deMmZpb5KVGsmHJtVEQY/1y6QrxKhbaWFjVr1VIqqQry8ejBAzS0tTEy0MHn2k3UtXSpWuULdLS1Xz2SIDK3bl7nmX8ARkZGfPHFFwrpCgrw5+69h1SpWlnx/gmP1+1bN9AxMKJokWRPk6jeev2aD0WLFcfMzIwEVRy3/73FM/9ALCwsKGJry+0796j0RXJ46cje3XjNWsLqX5cQ8OwxIWGRlClfAStLC4XwxEZH4eLoSNNvv6dt61ZKH+Kj6/rliwSGRaKro0OVqlWVg1hza5OEJuctIwlNzttAapDHEchOQrNz+3bc3d2JCI+gX/8+OA11Ri2LTth+3Sx5wUMjvvIXTJ/KmSu38PSaQLFiRV8dWyLIzpF9uxjr5s7sBQupVrUqf/y6lH2HT2BiZIBKXZfokADiNXSYMX0aVvktUxmVSdy54cPUSV7YFC2DjY01PlevMdZjHJbm5hzet5vf1vzJpMkT2fnnWtb8uZXwiEhlwS9T6QvGjhlNPmNDNq5dw+79h6hdtw6xUZEcOXqUgfaOfPfdN2/0KYjEqhVLOHbmHEZamtx9+IT2P3Wna4d2SjHQlb+upGipshjp67Jnzx5q1m3IyJHDiQoPwWvsCPTNrXno+0ghFUcPHaF2oyYMdbRXSM2De3eYP3M66OhTqlQprlw8R3h0ElO9J3H/1lWmzVzIzPnzKGZry3O/xwzq15e6jZvj6DRE8SZfPX+MGXOXM2rceIoVsmHJgnmcv3SVKpUrc+HsOXQM9FHXNmDh/FnK9et++4VDx44rRKVw0VI8fnCXuAQ1ps3wxtLCnODAAJwdBtPXfih169bmie8DFsydQ7QqETu7cvhcPk882kydNgVjI3E2WybteMzEuUcSmkwE8zVRUZERBPo/U9Iu81kWQF/f4FUZl7d7lIQma2wgpf6HEMhOQrNl82YmenoRGRnJoEEDsHd0ypbJPS8QmtDApwzu359i5aoyfLgrRoaG//dGJCWyb/tW3CdMZuHSZVSoWA7PsWPYd+g4DkMcadXmO04f2M0U7/nMX74EO7uy7+Aqju9Yv/pXfl+3iYVLl2JTwErxCqV4RdasmM/Ji7eYNHkSxoYGzJ46kZsPnzF92hQMDQwU78els6dYvGgZPQYOpnrVykSGBdOrZ2++/PpbhtgPenUWmVA8LjaWKZ7j2b5zPz379uenn7oo58G9eOqH2+hRVKxeh/79+6BGEucOrmfB7/uZv2ghEYFP6dimA5aFijF3wVxsCxVk9hQvrt95wux50zHQN2DiuDH4h8cwctRIrK0sOXpgDzNmL2TqjBnEhL5g2Ag3RkycQov6tTh74iiD7J348qsWTJkyiaSEOFwH9EJlXJDJnuM5f2QfqzdsxWn4CMrZlcXf7xGTPdzIX8wOt7FjELh5e7qxefshpkybQv36dbnrc57RHlOY7D2DsmVKc//GeUa5TWX8xEkUKWjF3MmePAyKYZr3ZIWA+Vw6w7AxE5k4cxa1KpbPvBIOmThPSUKTiWC+FKV8iBzcz4gRoxRP38QpU2jcuPHLA5ff7U8Smsy3gZT4H0MgOwnN5k2bmOQ1USE0g+0HK0nB2dHyAqG5fukc9gOH0KF7T/r27fXGQXbxcbGsnD+Dleu3sXbDBqwtzRk+1IkEdW0meHkqJ8Qf3rGFGQtXsmDJQqzMDDl48BDBYZFKhekKFStQtUplNqxZxYLFKxjk4ET79m2UPpJDMDEM69uD/HbVcHayR09Hm1HOTlgWLoWD/QC0tbWJi4tlxqQJJGkZ0bPHT5w4cRzf+/fYuWsPw0eNoWXLFm+YUnyZug6xR13XCHeP8Zibm4vAGlvXr2Hpr+vxmjgBv3t3efT8GScO7ueL2g1wchrCxVNHcRo2hpFjxipeH6HjdE937geEM23SBEJfPMTZZSyDnJwx0Nbk8tUr/H36NGHh8cxdOIugp48YOsSZnvYutPq2GQunevDMP4gn0QmsWLSA+7d8GOoyEgcXV+rWrM4oF2esi5Zi+Mhh6OnqEhYSiPuoEVRv1ILOHX8gNiYK+5+7UbnRV/Ts8bMSdhM69OrroFRFr1C+HMunuHPy5mPFA/Ps8X1GjXTDadhwrMyM+OfKVf45f464JE28Z0xTiKr00GTHW587+jh86CCODo4KoZk23ZsmTZumeUilJDS5w2ZSizyMQHYSmj/Xr2PK5KlERUUpZEaQmuxoeYHQnDl+kKFDRzNoyFB+7NbxjUT34AB/Rjg7E44BK5fOIS42hqH2g+nQoy9fNW5AYkICq5cv5OR5H7ynT+PeDR/GjvMgNDxCkdPt5+7079+fp48fMn7UGO48fESNWrVwch6KTYEChAU9o0P7H3EcN57mDeoRFx3GoL59aPVjb9p821L5ogwLCWZAj+5EqtQoUMBKyX3JZ25Bp65dqFSh/Bv5IeLLNPjFU/r16UO3voP4ruXXyiQuiNkktzGcuniFQgULKgu7qKBav1EDvv76a6VQ5ua1q9iwbQ/z5s/DKn9+hQQNcxhIwRLlGDCgH+vnT2Ll1iMUKV4MHaU6thr1GzSgdZs2GBkZEvjMF8fB9jT7rhO1KpfCa9pcnPv8wOR5a1m19jd2bP6T9Zt2sGDxQlBF4+TgyA/dfqZTh/aKh8nvwR1GjBiNy6jRVKpYkSB/X3r2GMScpUspaltI0fnRv//gMsoTrynTKGprTe9u3SlkV4Exo0ZwYMcWZs9dTOGiRRWPVEJCIrXr1KZVm9bK8+RGMiPeQemhyZqZ6OiRozgMHiwJTdbAK6VKBN5EIDsJzYZ1fzB1yjRJaFIZhGdPHmao00h6DRhMj57dXp39JcjYicP7mDVnEeO8PKlUvjwBzx8zfNhoZs2fh5mpGTEx0UwePwYNw3wMG+aKKjaWO7fvEKeKV3bqFCtWTEncFbIiIsI5ceQgy5auoN2P3encvh3XL5xi9ARvlq1YipVlfh7cvoaz8yi8vKdTobydou1zv/v06zmAPg5OfNW0sUIk1NTVlMRbQXheb4Jg+Vw8w6ixnkyeMYOK5cspOQTRUdEMc3SgUs26dPuxi0IghH6C7AgZqvg45s+YzINnoXh5TVC8GREhz+nTqx8/9h3EV182xKFrV1SmVnh7T8RAX1/JRxD3p3ibwkMCcLa3p0jZ8qjCgjCyKsJP7b+i74ARzJwzneVLllCncXNatvyKe7euMcxlBI7DRtG0aSOFcO3aspGVq/9g7sKFSp7RmcN7mLN4Nb+vXa14qkSy77pflrD70Elmzp2NekIcffv257u27fm5ezd+WzKfY2cuMXHKJCzymSn6iWcTOOVWMiMJTdatCseOHsV+kCQ0WYewlCwReA0BSWhyx3Dw872D4+DB2BQvg7OLK4UK2RAVGcXNK+eZPnMOlWs2wHmog1IR+tKJ3azecgDv6TOUhTI8LBSHvr2o1+wbfu7RXdk19HoTHpOw0CASk9QwMTEl0P8pY0eNolqjZvTo0omdm9awZddhFi1Zgq6uDqcPbGPeLxuYPmO6smtKXeweeuFHvx596NyzDz/80FYhKCJUpaamiY6O9huLtUqlYvfG1ew4fJaJE72wsDBP3g0UE80ol6FKfoyDoz36evpKBd7w8EjMLfIRGR7CqKH2FC5TlSGO9mhpaXLu8B7GT5zFzAXzKVWyGGP79cE3MoFZc2cqHg+RfBwVHa3sdBLeqJjoKCaMdOHG/cckqWuxYOF8LM0M6dK+MxUrlSU2UYuRo8coYbp/r1/BZegw+g524OsWzbh04QKTvLzQ1DFg8fIlGBsZ8uvCmew8dJZly5coCdKPfe/jPmYsFWvUZsgQe3zv3mLoUFccXYfTrEljVq9Yyo49h5kyYxpFCxdWvGcREeI8H5NcU14itREvPTRZMw9IQpM1uEqpEoFUEZCEJncMDOGd2LZhDUt+WY2hsalyQm90dBQhwSGUr1Yd5yFDsLQ0JyY6koVTvYjUMGT06JGKJyco8Dk/df2Jwc6utGj+1Tsnu4tFdesfv7F190Fll4XYuh0RFYn7BC+KF7NlzhRPHgVEMmPWDLQ0Nbn092FcR3hgW7goFatUwcF+ECQlMnm8G5eu36KAtbXwz6CuocnwUcMpUvjNwnvx8fFMcx9Jkp45zs5O6AtPiqjYrFKxduVyVq3dgI2trbKdWZAtiwLF8RjvytNH9xnYbyDdBznxQ+tvSEpMYM3Kpew9+jdz5s5Wigr+e/Ucrq5jMLHIr3hwRG31kiVLM2Soo5KAK8bzfG9P1m7cwY89ezF4wAA0NTXo1bUDN24/ZKyHOy2/bqF4dF48e8oIVxf8g0KxsbZWZOU3NyUwOIKZc2YpCcQjney59eAZFhaWGBoZEhwUQCHbIrgMH05BG2tOHdmL58TpTJ4xiypfVOTMsSOM9/Akn6UlJkbGSn0gS8sCuLmPQScbai597GiWhOZjkXv/fZLQZA2uUqpEIMcJzfZtf7FwwUIlXt+zVy9+7tEjW6ySF3JohAcjOiqSK5cucvfBIxITkovBWdsUonqNqhgbGytYibDI2TOnMclnSblydsqOGZGAu2/fAWrWqo21dYF3a8IkJvL0ySNOnfmbmOhYNLW1KF2qDBUqlkeNRM6ePoWali61a9dOrhETGc6xw0cIDAnDtkhRpTquCJv4PX7EubNniYyKUXQxMTXjyyaNlUTZ18MpIixz6vhhTM2tKFeu3BshqZCgQE6fOkVgUIgiQ1dXj4rVq1OqaGHCgl9w9Php6jdsSD4zM2WH0bUrl5S6L7Xr1ElOTo6N5eK5M9y9/1CpWSeOzyhXoQLly5dTDo4Vtva5fIEb/z5QtpbbFrRRPCOH9u8hLDKOJk2+VHJtlFoxqnhuXrvK5avXQU2D8hXKoZYQS2h4HPUa1CU+NopjR46gb2jKs2dPiY6JRVtXl1q1alGooDizTgPfuze5dPUGTZp9pRCs6MhILl44h+/Dx8nF+9Q1KGNnp9TRyc1nPElCkzVTkSQ0WYOrlCoRyHFCE/DCXzmfSCx41tbWyk92tDxBaLIDCNmHRCANBCShyZqhIQlN1uAqpUoEcpzQ5JQJJKHJKeRlv3kFAUlossZSktBkDa5SqkRAEhqX4YSFhdGyZUulfouhkZEcFRIBiYDctp1lY0ASmiyDVgqWCLyLQHYmBecU/tJDk1PIy37zCgLSQ5M1lrp86RKzZ81CXU2d/oMGUq1aNVkpOGugllIlAii7QtauWUOpkiWpXbdumi9bXsZKEpq8bD2pe3YgIAlN1qAs8gVjYkR5g+SaTSn1klLrTVYKzhobSKn/IQQkofkPGVs+qkQgDQQkocm6oSFKE4iWXmFFSWiyzgZS8n8EAUlo/iOGlo8pEXgPApLQ5PzwkIQm520gNcjjCGQnoRHuV/EjzufR0Egud58dTYacsgPlzOtDjBFhs/e55z+1t6TERKXonfhqTu/L+VP7ygv3S0KT81aShCbnbSA1yOMIZCehuXTxAvv371fO7GnQsLFSQC07miQ02YFy5vQhbHXz6mX2HD2Jw8D+St7BpzZBkERRu1fEJSmJRw/ucfuuLzXr1MLQwOBTu0j3fhF2CAkOIjQ0TKmOrDQ1NeVQTysrq2wj92kpKglNuibM8gskoclyiGUHnzsC2UloNm5Yz3Tv6URFRTPIfjADBg7MFnglockWmDOlE3E205H9e5mzYhXrV/+Gnp7uJ8kVlXt/X/kLtRo1oaKoBKymplQgXjnHm13H/mbSVG/KlC75SX1k5GZxjtWKhfPY+NdOcSKncosgWSXL2uExwQMrcd5VDjZJaHIQ/JddS0KT8zaQGuRxBLKT0PxXT9sWX+SCVIn/igX19VCb+F3K71OuEwvd22Xylb8p4brkE6pf/3uKByIpSfSRvFCKfsS/Rfn9ZGeACK0oZ0S+XNQT3/FaKHI0NN4JwQjdU2SkhGpe93ikPEPKqyD+/frfU5495fepPttLfIT8owf2MmvZKv5cswp9fT0Fu5STuUUfr/f3uizxe/EM4llTfh/w4jnOg/rRpnN3vvv++1enXvs/e8Jjv2fY2ZV7ddbU++wkwqQJCcmYKf0LnVKxU1rTgTiDa9HsWdiWKEOLr79GQzMZZyFPeKFy+lgESWhyfiLPA4RGTFb/ByrXxWrFi/m6HcWkl/N2fUeDVy7aDGSKZ5f6r+v0crbPldilh4ckNOkh9Ol/j44M4/ff1xAUFIJNoUJ06NABXV1dZWGMDA/n7zN/U6d+PU4d3sv5KzeoVqc+TRrUR0Mj+UtetIf377Bhw0blxOw69etSt07yFvu42Gh+XbyM1p07cfHsKe76+tGxcyfyW1jw4LYPG7fsRE1NnZ+6d+eGjw/Fy5TGUE+PHTt20LjpV8qZRMr5TRHh/L58BfWat6CcXdlXpCYxIZ79+/ZhY1uUorYF+WvzZgKCw+jQqQMFCxZUdIuNjmTb1s3YFimLsaEG+w4c4tsfOlGycCHl7/f+vcbmv3ahildRo1ZtmjRp/MYCHhcXy7atW7h794GCQ2xYMLOXC0KzWiE027f8iXn+QtSqXVN55vDQELZt3UrlGjUpX67cK4zu3/mXzZs2g5YO37RtRwkbK+ZPncbW3TsoWaY8JUqUoNGXjalTpw53b17h+KnztO/YERMTE0VGaFAA69atJyg4FBNTc3r3+RkdHV2FBYYFP2XDxj382K0TJ48d5Z/LPlSoWZuvGtZTzpBKrwlCs3j2bIrZlefb775T8oNyU5OEJuetkYsJTSK3LxxmpIsnkdq6aGklD3gNDS069HHgx1ZNcxQ9VWwU6yaNY/mh8xgY6isH3IEa+hYFWbZgJsaGWR9TTg+AxIRY/vplNovW7UNLW+eljqBmVpAJ7uOpXDJ5Ms3uJk4AvvfPYYYPm0SkljZami8nM3VNOvYexE9tWmS3Sp/UnyQ0nwTfe28WhOXhvTvMmDoZdPSxNLfgms8VypSvzLhxYxTS4HvvNitXLEeDJJ6HRJEQF4PvYz/mLlhA6ZIllHyjI/v38euq1ZQsUxZVXCz/XLyIvZMLzZs3w+/Bv/Ts60ClMiW5cecuRmYWTJw6iQh/P6ZMm4FNIVsiQkMIjYjCyNiIEaNGYaynw/ixbnTp0YuGDRsoety+fpW+/QYzfe4cqlet8orQJMTHMGXSRGLjE4kIDiBJQ4eosEACwmIYPXYMVatUITIskDHDXUHDiAf3bhEVn8iIse40qleTPX9tYNUfGylWvKRyiOU/589RpUYdBjsMUk4UDw0OYOakyVz0uUG5CuUVvAwMjfANCOWvP9cpIadxw52wLlqavv36Kd6M536PGTViBC1/6ESHNq2UAzuP79/GwmVrKFq8hIJhSFQMrsNcmDzSmSt3HqGnr4+enj69+vSlc+eOnDy0nSUr1jF1xgwKFyrEtUvnmDNnLhExKuzK2XHt0j8Y57NkxOhRFCtahBePbjLQwYN6tcvh+8Rf0cPH5zq9BgyibevvlJO+39cUQjNrFgVLCg9Ni1e5QeLAzexKjn+ffpLQZM08IA5z9ZrgobxPw0eOolbt2nmwsF5SApeP/8XwobMZOMGdejUrvsqm19M3RF9PJ2vQy6DUuOgwFroOZf+9SGbOm4S5afJJvurqmpiaGue4+1PokqCK4vc57mw9fpfJ06Zikc80+enUNTA2MkQ7E5IFMwjXG5clJqi4fnIrDg6zGTZjEjUrp3whqqFvYID+J8b8P0anT7lHEppPQe/990ZHhDFv5nQiEzVxsB+Enq4uW9atYsehk6z+7VflPTt1YAvuE+fSscuPdOzckSf3bjN+nDv9hgjC0oRrF/9m4qRp/NirH82aNCI8LBj3MWMoVbkGg/v35e9jB3EdNZ7mLVryc4/umJvnIyzQH3c3N6o1aMpPP3ZGkPBNa1Zy6PjfzJgzDz1tDTzdxlCpbmO6duqgPMS2DatZ/ecO5sybg+1Lz4vyHsbH4Ok+nqMnz+Ho5ETTJo0JevGcCePGopfPmmneU1BFhzHCxRHfp6GMHDUSOzs7jIyMuHv9EqPHuCvE48fOHdDS1OTk4f3MnDWXPoOH0KbVdxzdvwu38V4MH+tG0y8b8ej+HebMmMmtp0Fs37RBITSjne2xLlaaAQMGKiduP3v8iGGuLnzbvjOd27fj1rVLDHVypXX7jvz4Y1dITOTu3TvkL1iI2PBQhjnZ890PXZQjL4yMjRXycWjPRhYt/4Pps2ZjYqCL1zg3QlSaeLiPJb+5Of5PHzPJy1P5yJs8YRyBfrfp3msIdeo3pn//PsocPmeKBw8DopjmPQ2LdHJgBKFZMGM6F31uYW1j/arQWpsfOlCtauU3vHFZNyLTliwJTdagLo4+cBhsr7zrU72n0aRp0zS9c7nXQ/OS0IxwmYfrDG+a1K+a5SThnRDIa/Z5O9SVQmgO+cayfNV8LPOZ5rpwSQqh2XHalwWLF5HfIl/WjLgPlKoQmhNbcRgyB89l86hbszL/Dwx8oLBccLkkNFlkhKQkLpw5xsSJ0+jSvSeGutr4BwZyYO9uqtVugIPDIMRYmjCkB1iWxtnZCVNTU25e+YexY8bh4uZO9coVmTV1Ihcu38LBcTAvnvvzyPcOh46eYqjrMOrVrcXaX5aybstOZs+dS6mSJZR5ZtPaVaz4fT1Lly2loI2Nkkuzb9smdu4/xuRp09DSUOOPJbN5HJbEyFHDiAgJwr5vf5p8346uXTsq4bCUJgjNBI/xhMepMWG8m7IjKD4uhq1/rGTt5v2sWLkCTbV4RroOJb9tacaMGa1M2CLf5/cVi9i25zAz5symiK2tsoj7P/VjnPB6lK2I81B7fl0wnd837WXDls1YWVoSHxfHvh1/sWDVOjau/T1DhGbXlvUsWLwC71lzKFfOTgkRJb6M9QcHBWDfpwftu/WiTdu2ytexwOPgrj9fEZrwwGe4uXnQz3EoXzdrmhzKExW0Vy5n2W8b2LV7C1FBj+nZx5Gpc+ZRsZydkkOzd9t6Vq3bxvRZMyn0GglMbUSlEJqb9x5iW7gw6hoid0aHLl27YGtbKMe3jktCkzXzwOdxltNrhMbFeypfvkZoMj/5KwlVTDSP/J4RH696xyrGpmZYWlqgoYSVklsKoTn4IJZlv819RWhyU02GFEKz/bQv8xcueEVoclrH1wmNx5K51K1RCXWRbfly10LWvBZZJ1USmqzBVhUfz+qlC1m+eh1FixYVEV0MDAzpN2CAsujq6ekREeLPd9+1Y+TYsTRv3lxZSI/t38W0mXNZvHwFJoYGOA0cgO+zAKwLWJGQmEDhIiVwcXVS8j6SEuOZPtGdB37BzJ47RwnpiOTVmZM8eBYYgbvwMOjpER8fy68LZ+LrH4XHBHfUSOLs8b38tmEXs2ZOZ+/2Taxav43ly5YqcpND0MlN8dB4jCde04Bxo0cq3g3h8Tm8bxfz5i9j6cpf0NFMVAhN0TKVcXV1UUiVeP5Fc6Zz/vK/zJ43EzNTM0VeeHAQHuPcMLa0YcRwJxZMHc+2A2fZvnsnRoZGiF1Oh/ftfpUUnBEPzea1q1i5+g/mLlxIsWLF3jBoYIB/uoTG/9EDvCZ5M22mN2XL2inkQqWKZ9uf65k4dR57D2wnPvw5vfo6MmfJMkoVL64QmoO7t7D81/V4z5pFYdvkfKG0mpIUPGsWtqVeJgW/TL4W27ZT1oTY2BiSEpPQ0tZ+M2E7a4boG1IlockakD8rQuM4yBOrcnZYmJsqiXk6psXxGDcIw9e+gD4ZxqQkIp75Mnfpr0qc/O1WvnodurZvjeZrCYYKoXFxYs2Z61SuWlGZpMRLXLtJazq1aZKhJLdP1jsdAQqhmT2eZZtOYleuPDo6yTHqBk2/pm2rlmhr5UxSnSA0105sYbD9ZApWKIe5mbGCnYFFWUYO642poX5WQ5Op56RfKAAAIABJREFU8iWhyVQ4XwmLi41lnvcUrj94ypxZ3sqOGDFOxAKWkjNx59oleg8YgvfMmdSsUV25d+Pa1WzZtZ9FC+cTGxWCwwAHvu/8E62/+/rlrhiNV1uZRejHaWB/SnxRj9EjnZS8jMREFeNHDkfbwILhI12U/h7eu81IZ2fqNGmBwxB7xYPx7w0fxoydwIQJY5jq5UW1ek0ZOLDvO+7wFA9NZIImnuPdlLCZKj6WTauXsWH7EZb9shxN4t4lNKp4fl0yn90HTypky7ZQcs5bgP8zxo4YQYlylXEaMoAlsyayYcdRNm7doiQyCyJxaPdO5vzyu5IUrBAaFwfy2RRjiIODMg/4PXrAMBcXvu/4oxJy2rl5HQuXrGTmvHmUKV36gwlNyAs/xrlNYJDLML5u1iSZ0MTHsebXFaxYtZEdOzcTGfgwdUKzcj3eszNGaNJKChYeo7vXfdi5Zy/h4RFExcTRvMW3NGpcL9s8N5LQZM088FkRGqfBkyjXqAGFC1qhpq5BQbuqtG/ZEJ238j/EToJDq5aiUboGDetUIyw0BA0tPYwzuDgK964YkMlVWN9sWjo6yqSW4kUQf00hNBsu3KV5yybo6+qgpq5Jg69bUaNCKaL9fZkweyVDRg6nkOmnJwgnxgQwf8ZMrt7zT3XUaGnp0X2oAzVLlXr1dZhCaH7ddpZGX36pfGmKz9zaDZtQt1bVNwjaRw/FhBi2/r6S3UfPk/jSy/K6LPHlVKNuQ/r07Pbq1/8nNFOp3LQRBQtYKmS1aMVafNekDvq6708O/Ghds+hGSWiyBlhVXBwrFs7l8JmLLFq8EFMTE2WxDg0JIZ+5hbJQHdm3g6nT5zF/0SJKliyh1EeZP2Maz4IjcXMbS2x0OE6DBlOpdn2G2A9S8ixioqKIiYvHxNgY37s3GTTQEa8Z06lSqZLyVS9kTHQbw4uwGCZN8iQ0JIgZU705/89FBto70aVLR+WB/R75Yj9wEFY21qCujaeXZ6p5IAqhcR/HoaNnsHd05LtvWvDi6WPGjByNbemKuI8bTVx06DuERngwLp4+ipv7RNp06kK3H7sqCfQHd+9gztxFuIwaTZPGDdi7fTOek2bgMXEiXzZuxL/XLjF92lQeBMWwY/OfCqGZ4j6Gq7cfMmnKJKVey+/LF/Lrmk04DBuuEJpr/5zF0dGVtp260KNHd0hM4NyFcxQtWRZDHS2GDu5L3abf0KdXL9TUxJZyDQ7t/n8Ojb6WBh5uY4hBBw9PD2wKWPHw/l0mT5hA8fJVcXYaTKDfv5lCaIqWFbucvn2DOMbHRjGwRw86/NwLK4t8rPltNc6jx2AjbJNNTRKarAH6syI0w53nMnTqJBrVraJMNqLGg6aGplIPQtRWCHnii465lZJg9vjmFdRNCmBdwIwNG5ZhXLgR39StpKCcEB/N06f+GFsUwFj/7YTiJGJDA9h3+ASR0THvWKVIyTLUqFYFzbdDTi5DOfAghkUrZmJpZoLYsK2prYWGcBdHhXH84i3q1KyMrrYWSQkJBAcFoW1giIGuNqHBwSRoaJPP1PhV7o1Y6AOf+2NsafkOYUuKj+DsmbM8DwwnKZV94Zqa2lSsUY1ClpaviFdKyGnbyQfMnjcHS/Nkl7WmOLH05TZJ0ecLf390DE0xNUrfM+Lv9xRTS4v/JxQnxnPjyiXu3H9C4mv4pIAojnwvWKgwVat+8QahScmhcVswkzrVKyoYaGpqJdeWEE7/BBWh/s9QNzRVEphzc8tOQrN54wZmzZilkO9+AwfQr/+AbIEmJwrriT59Lp5l8qSpGFtYYmpiquRuFC5ajD59eite0d+WzGPr7kMsXraMAlb5iYkMxWPUMIpVqk2vHt2VPJRfFi9g287d2FWopIz7BFU837dtR906tbhw5iRTp89l5W+/YPoypCMA/evPtcyZv5gKFSsREx2FVYF8nDp+jjEenjT5Mrk6c3CAPwP79SMsKg53zwlUrVolVc9sCqG5dvs+JjraGBibEBocCBo6uI4YQYXy5YgIDWCEi9MbISfRh9h9tGr5Mv7asYsixUugq63Nwwf3qd+4Gd1/7oaJiTH+fo+ZMcWLa7cfYVeuLAEv/LEwM+Hq/SdsXrdW2bZ9+ugBPL2mYGKeHxvr/MRFx/D4ySM6/dxbITQxUZGsW7mUDVt3UbRkKdQTVYTFJuLmPg4bCzOWzZ/DwWOnld1LjRo3onmLrzm6b/OrHBoRLjpz7AizZs1F08CIwgVt8L17myLFSzPE2QnrAvnxf3jjE0NOUSyZM5MLV29QwNpGmefU1NWwsi5I5y4dmeU2nKJV6lEovxk+128zdJjLG7lMWf2iSEKTNQh/VoTmfUnBxw/s5vLRIxiXr8YP33/LvdOH0ShYEp2EIJb8thrdfGVp830LChlrcuzIPv658YBCJSvRuX0bTI0N3ijjHfroJqM9phEQGvFGXRmxuNZt9j2D+3Z7N+TkOpS0koJjQwJYs2kfHbq2xefEYXz9Q7hz/TLq5oWoVbYY506fRGVsRd9ePTDVho0bN6KhocMNn8vkL1KC1l1/xMbU6A2v0IcOl/SSgiMCn7Jn3yHu3ruBrlkRmrdojrWxGoeOnKVuk6Y8vHSKSIOC1K9egdNb1xCapMfZs2exsLHl+x86UMxW1N/4UK3Ex9/7k4LjY8M5vmc3PucvYlq+Kp3atUl3S+eHa5F5d2QnofF9cI/r13xQqVSUKWNH6bJ2mfcg75GUE4RGWdDj47lz4yqnzl5UtNPV1aNBw4ZK/RZ1dbj490n8/IOVQmti905sVDhHDx2gSKnylC5dSrknOipKyVd5Fhiq/NvC0krZri0I0aOHD7h+8xZNmzZT7k9pkeEhHDhwkIDAEMpXKM+1M8fZuv+4skW5XNlSSsjpmd9Dhjo60+irlvTs0f1VSPdtGFNCTrHo0OvH9pw7d5HEJA0aN2mMTcGCygdQXEwUx44extjMkho1arwRJomJjub82dP8e+e+UnendOmyVK9RTckhEk3YJiI8jH179hAWEUmpsnYUsSnAhSvX+O6br5UwmkgUvnj2b67fuq2E7ho3+ZJ/b1zHtlgJ7MqUVuRGRUVy8vBhHj17rpwTVrlKNSpUsFM+JKOjIti7aw/BYeGKfuXLl1OSq6/43KRh4y8V75mw1ZNHvhw/doI4lQoDA2O+btlcySkS00REWAB79h6mSfPmmJmaQlKisuVekI+GjRthbGT03rEscoOuXf2Hfy75oEopkKimRj5LS+rUrM4Yx8HYlimPoZEpX7f8FrtyZbJ8I8nrCktCkzVT0X+G0Mya6knrTt3R0tLE0syMndPd0KnWjHp1KvH76sXoF6rPd/UqsOd/7J0FXFdXG8e/dJeIYoEFFnYHdjs3fY3ZU2cHqNioIBKC3TpzbU232Z2YM2fOVhSV7ub/fs5VN91AQWnO+Xzez7uNe098z7n/+7vPec7zbFxLtHFpPm/dmNOHD0CpqnRuUP2ds+xJCXEEBAQpD+K/i6GRCWbCkvLW2/tDp5wiHv9FnxFurPx+Cb8u8OSJypS+3dqxZsUyEg2LMahvVy4e24tBzTa0Ll2AEcOGU635F3Tt2Izf160g0sqecf0/Q/cT/FzeK2hUyRzZspZTz5Lo2bkdj25c5PLdIPr37MC6eV5olKrOwyuX+GrsBOysCrN8RA+KdPiampXLsnPFXPSrt6F/j87/xJBJx1r+kKCJenad6bNX8vXw0RQ0M8K0gLAICavcR6indPTrYy/NSkHzsX381PuyS9B8ar8/5n4lTtK9e5iZF1R+I+JiInGbPgNdk4LMdHPBQF9fCUwnrBbBscmMdxr76qWdyvp8xyl4yiRFOOXUtfwxvHLCPdGRYbhNmUB0shYFCxakeKnSdOvaBSPDrLPuSkGTOSshbwgakrlxZg/OkxbRtFtXyttYvzIxqqljVcYW29JWfLvEh/taVnSsXZ4K5cuyZ64LurVa0q5dE374fjnGJZvRqooV81ymYGpnT107Gx7cucYjHWvGd2v5SY67CbERrJ/hzI7rz+k/qBdGBvrKV4iGti716tUl6eWjvwXNb/O8MK1sz/8+s2e+lwc6ZRvg0KcDJ3dt5HSMJSOaVlDO2X893hX7elU5smUd2849w91tIqb6H5+HJSkxhq2rfNhy6Bo9e/fC2Oi1L4+GDlWrVGTL6oVEG1rTuE4V/B/f597TAIYNH8qjP0/g5DST5v1GM6Z/F9RUKtY6fkUHt0VYmphy+bdVHHqmhePQAei+djROz1IW2wB/ndvNhAmLade3B2VLvjlyqYZVGRtKFNJjw7yFPLOoRJcGdpSvWFExtedQPfPqeOqPP2JTtiz1GryKPpvXSn4SNInxMSye58PxU38olgBh4TAvaMEIB0eqV7FTtrFOHN7P2g3fKsHvKpZ/vyUgKTGOubNnk6RtwPgxjmhrf3qyyLy2vj51PCEBz+ndpx9TZ7hQpqQVq1cswbZWU3p0av+pVaf5filo0owqXRfmEUGjIizgORfOXyA66VX+FlGEM1qpchUpX8aa8JBA/J74seunb6ndbyQBW1ag91rQfLdhCUYlmtK2VmnmuU6icM22tGpYUxFEeiZmFDZ792hluggLM29iAo9vXOHPh/7vHNHU1DWgsX0DEl+8K2jMqjamS4fGzPNyR8emAY6923N850ZORRdiZLNKjBoxkj6O02nZqAa7vl3Ckb9imekyBqNPCDInvjSf3L3JjbuPSHqdj0aMU6WlT63qdmxbu4i4AjZ0bNFIGb4IWFjQ3ISTW7/lt3M3UTcrjvdURzTU1Fjt0JdWMxZhZW7KiQ1zuRJfiJFD+qPzET/Owg8iMvA55/+4THTiq7wxSr/U1ClbriI2JYsTFR6Kn99jDvyykcq9R9PUpvgnbb+ld37Tc70UNOmhlfOvFesz4MULHty/R0houJJqoUiRIpgVKKB8BCUkxHPjzz9BQ1MJgPf2VlVKoxP13bp2DXVtHcqWLZsnBW92z2rQy+c4Dh5CdfsmmJkY8eD+Q3r1H0CFcq+2HbOiSEGTOZT/OH+OWTNnIPwxJ0yaSt369XNhpOA0sDm88zdiVHD6wB46jpjIk60r0a/ZgjZtmrL1u1VcfxLHFx3bEnD1GMdvPKOhfUMS4hOoUrMWpUoUy1Szb8STO3w1yp1l3y5i50IfTCs3onP7Rizw9kK3bH1G9Wz32kJTmGFNKjB82HDMS5ajWaM6HD54gI5fT6BZjbJoZdbXviqZCwd/54fth2jYohna6uoYFiyGXUlzFs9fQsf+X7P/2+XYNP0fnVvbs3xYV4LL1qNaGSt2/foLXwyZSIem9TLmpNS/5jri2UP2Hj2DvoEWl0+fpMnX42hQRvhM5Mzwe1LQpOFhlZdIAplIQFgQn9y/z5Vr14iLT6RW7VpYWZXIUvEoBU3mTLDwIQsIeKG8r03NzJVYUalt2ebcSMFpYHPywG7u+r3AolhJmjasi9/lc2gVsaJkqVL4P7jLidPnsK5QlWo2JTh/6hj3ngZiaGymHGEuWMAkU7/448ND2Hf0LM1aN+XuhfPoFSxK2dLFuXj+nHISq0aF0jx9cJun8bpUMNNixLBhtP2iCwkqNYqXsaF5o9RVaBrQpOkS4Yh45awv1+89QUNbjzr16lNALZhrAWo0qlWZgHvXufk8koZ1arDWoR/Wn3cjKCga8xJlaN6wjnJUPTNKTEQIpw4e5HFIBJbFS9G0SUNlaytnetAgt5wyYxHIOiWBdBP4J5FxdvgoSUGT7gnL8BtytaAR8SKU6NwihbyamuKp/yYKrjDzioiR4iiEcgxY/PvrtNjiSz/TF/zr0OGv4lokv+6XOJGgdFjZphL9FX2KCnjGGEdHBoyZRv3alZXxiJMPmV5e9/FNygexHSd2fxSOon2lfyrlyPl6p0G0mzGXwmZmyradwjCTOviKy6v/KXObiW1lxBCkhSYjKMo6JIHcTUAKmuyfv1wtaLIfX8b0QETUDA4MxNDETIkZkdOKcIIMC3iBoUWhVzGAcloHs7k/WSlohDh+E/xRCL2sckDOT07B2bycZPO5lIAUNNk/cVLQZP8c/J0ILrtzLL0PhbCGCaesHHvUKBvnMSsFzflz59i9e7fiC9aiZQuaNW+eJSOXgiZLMMtGcjEBKWiyf/KkoMn+OZA9yOUEslLQbNm0ER/vOURHRzNy9ChGjByZJfSkoMkSzLKRXExACprsnzwpaLJ/DmQPcjmBrBQ0mzf+jPdsH0XQjHJwYOQoKWhy+fKR3c8jBKSgyf6JlIIm++dA9iCXE5CCJpdPoOy+JJABBKSgyQCIKVQRFxdHaGio8hdTU1MlUXRqRQqazJkDWWs+IiAFTT6abDlUSSAVAlLQZM7SOHv2LDOmTVdOMk+d5kyDhg3zZmC9zMEna5UE0kdACpr08ZJXSwJ5kYAUNJkzq3kk9UHmwJG1SgIZTUAKmowmKuuTBHIfASloMmfOpKDJHK6yVkkgRQJS0MiFIQlIAlLQZM4akIImc7jKWiUBKWicJhIeHk67du1wc5+FoZGRXBWSgCQASEGTOctACprM4SprlQSkoJGCRj4FkkCKBKSgyZyFIQVN5nCVtUoCOULQ+HiLODQxjBw9WsahkWtSEsghBKSgyZyJkIImc7jKWiWBbBc0t25c4+yZsyQmJlC9Zi1q1KyVJbMiIwVnCWbZSC4mIAVN5kyeFDSZw1XWKglku6BRMpCLTORKknm1zM8a/3rEUtDIxS8JvJ+AFDSZs0KkoMkcrrJWSSDbBU12TYEUNNlFXrabWwhIQZM5MyUFTeZwlbVKAlLQvHYKbtO2Da6urhgaGcpVkUEEhPUtKSlZsb5lVlED1DXUlairsmQsASFoXGe4cuDAAYoXL86SZUsoU9YmYxvJh7WdPnWKqZMmo6auxgxXVxrZ26OpqZkiiSxPfTDPyw0Hp0no6Orlw6mRQ86LBEQcmo0//4SNjS31GzRINSx3bh77vy00NjZladqk8XvzquTm8WZH34WgiYyKylRBI8ZloK+HhrpGdgwxT7eZkJDAkaPHuH//PiVKWElBk0GzHRIczM3r1xRBU7asLeYWFqirq+cMQeM505n69RugqamVQcOV1UgC2UsgMTGRS5ev0Kxla2rVrpPqw5a9vfy01v8taD6tNnm3JJB3CQjftpIlS0pBkw1TnKUWmqSkJJ77P0O8AGSRBPIaAQuLQujp62eZo25W8hPWg3NnTuHmOpOIiIisbDrftCW2m0JCwxCsNTQ00NXVQV09Y7aG4uMTEZZEUbepqTFaqZjs8w3sTByoEDQlSpTA3Ws2JUuVysSWZNX/JpClgkY0Lh4o5aSGLJJAHiOQNaeOxPOjPEninFOWiSfxzIaHhfLwwX0S5AdJxq9csd0UHso4p0nExMRiZ1eJocOHoaWVMZbsk8ePsXHjFqXfs2bNpLhViYwfg6xRISAkqK6uHqXLlkVPT19SyUICWS5osnBssilJIM8RiAgLIiTwOarkZEwLFMbEvFCWj1F+kGQO8tDgl7Ru1Z6oqCjs7e1ZtGQxOrq6GdLYlo0/4eExW6lr05YtlCtfLkPqlZWkTEB83MiS9QSkoMl65rJFSeCjCWzbupl5c+crX/HDRgxnyNChH12XvDEnEVAREvSWoGncmEWLF6Gr9+mHJ4QA3brpZ9zdvV4Jmq1bKF++fE4avOyLJJAhBKSgyRCMshJJIGsIbN74M96zReqDaEY5OGRZ6oOsGV1+bkUKmvw8+3LsGUNACpqM4ShrkQSyhIAUNFmCORsakYImG6DLJnMBAWFhFKle1FBDXUPjvadIpaDJBRMquygJvCEgBU1eXQtS0OTVmZXj+jQCjx7cY9eO7Yqgad2uI6XKlM0ZcWg+bVjybklAEpCCJq+uASlo8urMynF9GoETx48zxsFRCWHg5e1N02bNckak4E8blrxbEpAEpKDJq2sg6wTN5q3ilJN0Cs6rKymvjSvH5nLKa6DleCSBrCYgBU1WE8+q9qSgySrSsp3cRUAKmtw1X7K3kkCaCUhBk2ZUuexCKWhy2YTJ7mYRASlosgi0bEYSyGoCUtBkNfGsak8KmqwiLdvJXQSkoMld8yV7KwmkmYAUNGlGlcsulIIml02Y7G4WEZCCJotAy2Ykgawm8PTpUx7ev09iUhLW1tYy+V1WT0CmtScFTaahlRXnagJS0OTq6ZOdlwQkgfxHQAqa/DfncsRpISAFTVooyWskAUlAEsgxBKSgyTFTITuSowhIQZOjpkN2RhKQBCSBDxGQguZDhOTf8ycB35MncRo7TokO7OHlSeMmTdDQ0EgRhkx9kD/XiBy1JCAJ5CgCUtDkqOmQnckxBOLj4wkNDUVNTQ0DfX309PWVf06pSEGTY6ZNdkQSkATyLwEpaPLv3MuRf4hAcnKycokQMqmJGeXvKpHKUhZJQBKQBCSBbCQgBU02wpdN5xECUtDkkYmUw8gfBMT3x5tvkA99reQPInlllFLQ5JWZlOPIPgJS0GQfe9myJJBuAg/u3+PqlSskJSVSsZId5StUTHcd8obMJ6BKTiY5XcZvFaHBAbRt04GoqGjsGzdm0eJF6OrpfXJnhQDeuuln3N29FDG8actmbMuVS1e9QjwLp0xZJIGcTEAKmpw8O7JvksC/CGzdvIl5c+cTHRPN8BEjGTZ8mGSUwwgI0fDw7i1OnjhJYnJS2nqnUhEZGcnadd8jnCAzS9AkJSXRu/eXWFoWTlu/AHU1dcqWLU2d+vZoaeuk+T55oSSQ1QSkoMlq4rI9SeATCMjUB58AL8tuVREfF8c3K1ewadMWoqKiSIuxRqVKJj4+QellZgkaIZa0tbVQV0/52Ou/EQmrTJUqdsx0c6O4lbW00mTZGpINfQwBKWg+hpq8RxLIJgJS0GQT+I9oNiYmiu82bGDVym+IiYlNcw1ieyczBU1aOyL6UbVKJVxmzsS2fEUpZtIKTl6XbQSkoMk29LJhSSD9BKSgST+z7LpDbD3FxERz/OgR5njPwf/5C8WHpXSpknw1YAAFzM1TFglqapgXMMeusl2qAcTSO6anT/24e+cuYsvp30Ucc42Jjub3X3/h1KlzyjV6enp89ll7ho8cgUUhSzQ1NdPbpLxeEsgQAvfu3GHr5o2oocYXXbpgY1suVXEtBU2GIJeVSAJZQ0AKmqzhnJGtxMXGcvzoYebMmceTJ36KOGhQvw7TXFwpUqSoCK7xn+bEVk9GnmITTspJr2N5/LuxyIhw1q9bx3fffk9cXBy6urr06dubwUOGYGBoJC0zGbkYZF3pJnDi+AnGODqirqaGl/dsmjZrlqrAloIm3XjlDZJA9hGQgib72H9Ky7GxMZw7e5aF8xdy69YttLS0qFmrJhMmjKN8xcrvDRb2Ke1+6N7goACWLFzEnr37CQ8Px9BQn8GDB9GtRy9MTEyyrV8f6rf8e/4hIHM55Z+5liPNZwSkoMm9Ey4ccm/fuo6Plw+XLl9RLB/lytkwffp0ylWsiI6ObpYNTmx9BQQEsGLpYn77badimSlQwIx+/XrTo1cfDI2MpZjJstmQDb2PgBQ0cn1IAnmUgBQ0uXtiExMTuXfnLxbMn4+v72nFp8aycCFGjh5Jp85dUMuCWC+izdu3brB44WLOnj1HTEwMpUuXYuKkCdSsXQcDA8PcDVn2Pk8RkIImT02nHIwk8A8BKWhy/2oQQRGfPvHDx8ebE8dPKkEShS/NaIdRtG3XDu1MtNQIh9+HD+7j6e7OH39cJDExgQrlbBk/aRI1atVCW8aZyf0LLI+NQAqaPDahcjiSwBsCUtDkjbUghEVgQACrVizll19+Q1huzExNGfh1f/r064+2TuYEsLv4xznc3WZx994Dpc1aNaszzcWFUqVLo6WlnTfgylHkKQJS0OSp6ZSDkQT+IeB74hjbtv1CfGwc7T/rSLsOn0k8uZRAcnISwUFBbPzxe374cSPh4RGYmxegR4/uih+LecGCGTYyIaAuX7rIwvkLuHz5irLVVb58eaZOm0LVajUy7Hh4hnVYViQJvCYgBY1cCpJAHiUgTsvERMeQrEpGT08ffX39PDrS/DEsISyiIiPZsnkTy5YuIzb21bHpps2aKNF59Q0MP9k5V4iZ37b9wurVaxHxaETU4nbtWjNk2AisrK3R1paWmfyx2nLnKKWgyZ3zJnstCUgC+ZCAEDVCqP7+63bWrV3H48d+SnqC9h3aMmLkaIoXL/FRzsKi3ojwcHb8uo1V36whMDAIIyNDWrZswZixYzG3KCRjzOTD9ZbbhiwFTW6bMdlfSUASyNcEhPhITEjg5IljeHp48eyZvxI8rHmzxjiOc8LKumS6xYcI6Ldq5QolYJ44yaShoUHXbl1wHDMWYxljJl+vt9w0+OPHj+M4ahRqaup4z/GhWfPmMrBebppA2VdJQBLInwREPJjLly4wd85cbly/iYaGOtVrVGf8+AlUtEtbKgQhjsLDwvjxh+/YsP5bIiIiFcvMlz2606//AMzNC6ZbHOXP2ZCjzgkE/J485tCB/airq9HQvgklS5ZCXSPl5KoyUnBOmDHZB0lAEpAEXhMQWbcfPXjI5InjuXb9luLAW6pUSVxdZ1C9Zm003pNXKTk5mef+z1iycAH79h9SAuZZFDTHafw4WrVph46u7if75MiJkgRyKgEpaHLqzMh+SQKSQL4lII5U3797h6VLlnDk6DGSk5IpX96WAQP707b9Z2hqav2HjRAzImDekkVLOHHiJOLfy5QpzTinsdSt3wBdXT0pZvLtisofA5eCJn/MsxylJCAJ5DICwjLz8rk/c7y92X/gkBI3xtTURLG2dPy80zuxasS1jx89wGX6DCVgnhAzlpaFmL9gPlWq1ZBbTLls7mV3P46AFDQfx03eJQlkC4HAwECe+vkpL6wiRYtiaWmZLf2QjWYNATHPL1+84JtVK/l126/ExcdTsKA5/fv3o3uPnko2bHF1TfC3AAAgAElEQVTN3ds3WDB/ASdOngZU2JQty1insdRr0Egey86aqZKt5AACUtDkgEmQXZAE0krgly2bmTd3HtHRMQwfOYKhw4al9VZ5XS4lIARLYGAA3yxfxm+/71TmXk9Pj8GDBtKtRw9u3LjBPJ/Z3Lv/GBUqataozmiH0VSpWh1NLS25zZRL5112O/0EpKBJPzN5hySQbQSyKvWB2MIQL1LhoJqcrFLGK/7bpxZNDY0POrWK48uf3tK7PRUnJN4X2l+MLUG0mwFjfLtldTW194qKtLYrrosMD+f0qWNMnz4LkbnbwMCAYsWKEhwcQlBQEKhBq1YtcRwzBkvLIujqCQdg9VSnTIxXzHFGFjVQxisyiadWRO6qxMSkjGxWqUsccxdH01MrIjJzQkJihrerpqamrBvx/6KI/xfjF/97898yvFFZYYoEpKCRC0MSyEUEskLQiISF+/bs4fatW7x4/pyAoEAS4+NfRSj+hBegeNn06tuXzz7/ItU4ElcuXVRO6ISEhGborNhVqYzrLI8UXzCKr8oLf1ycnQkICMywdsXrrXCRwvjMm4+BoXGK9QYHBeA8aZLS7gfFlEpFXHwcz/xfEBMb9/rFKV6mKPMiXqCFLMwxNTGmoLk5rrNmUbSEdYpjjouNYenCBZw6JbaoMq4YGxsxYeJ4KlapkWKlSYmJHNi7k3VrNyAiGGdUEWOf4DSSWg1bpiimhDA/c/KEkuU8KSnjRJzQMObmZoSGhKGlo4OmljbGxiZUqWJH1+49MDUzy6gh5tt63nxcCQAfEolS0OTbZSIHnhsJZIWgEUd9Z7k4s3PXfsUR9YMv2jSCFF/QDo6O9P2qX6p+Hb4njjN1ijPCVygjS926dVm7YX2qgsbvySMGfDUAf//nGdks1tZW/LTxJ0zNzFOs98Vzf77q0xe/p8/SxllYzt5jRRIvWGGVsbAwZ/36tZQsY5vimGOiI3GePIV9+w9m6HgLFDBl/jxvatdvnGK9wiq05ecf8PaZr6ytjCoiXs8CHzeate2UYowSVXIyB/buZvyEyRkqpET/tbS0FOvemyJeurVr1cB77lwsChXOqCHm23ru3rnDli1blPH/r0sXbGxsUrUASkGTb5eJHHhuJJARguaNQEnNHC6+ok+fOMQMV0+MjQwxNDJGT18PHW1tdHVE3p9XpvX0FmGhadu+A/ZNmqRqobl98yabfv6J8PDw9Fb/3uttbGwZMmJEqoImOCiQlcuWERISkmHtCr4FLQoy2nGMkpMppRIWGsKKpUsICgpOm6B5q5Kk5CQCA4MRVhE9Xd13qjc2NmbY8OFYWBZJcczxcbFs/vknJVFlRhZDI0P69O1NWduKKVYrtptO+x5nx287M1RYCBHRr8+XVKxWG3X1/247iTX/5+WL/PjDjxnarvIoqNSIj48jLiGB+Lh4IiPCqVzZDqeJkxSn7ZSKsKjFxcWio/MqLpDcmkp9FZ48cYJxY8YqIsbDy4umTZukum0tBU1GPs2yLkkgkwl8qqBJTkri+vU/MTI0xLpUmVRf8MKPJSwsVIl3ova3P8Ar/4CPkzMCjPBj0XqvT4n4ak+Ij1d8dzKyaGhqoaOjk2qVb14w4ks+44qaYi0QyR9T8ykR7Qp/GDEv4nRSeopwbXq11aSG8NV5uwgrjQiil1q74gUv2k1K/MeykJ62U7tWrBXhqySscSmVNykeEkS7GeqvpKZwFkEHUxMHYm3Fx8Wlm3NauIi5EGN7sz2ipaWpJI9Njf+Txw9ZvWoFTZo0U2IEiY8GWVImIHM5yZUhCeRRAh8taF77iWzdsoWdO3dTvUY1pru4KsHWZJEEJIGsIyC2p1YtX8K6dd+ir69PvXp1+XrwIGzLVXivU3PW9TBntSQFTc6aD9kbSSDDCHyMoBFm/gvnzzFt2gwCAwIV87hwGp0zxzNVX4cM67CsSBKQBN4hEB0VwaCBg7h9+7ZyBF9kVi9cqBBTp02lTr0GisiR5R8CUtDI1SAJ5FEC6RU0MdFR7N61i3Vr1/L4sZ/iiGltXYJu3boqp40KWxbJo6TksCSBnElAPIMBL59z/OgxfvllG7du3VKOsZsXMKNd+3YM+PprLIsUlX41r6dPCpqcuY5lrySBTyYgBI2Pt4/yZTdy9GhGjhqZYp1iLz8kJJhlixexZ89+wsLClC/B9u3bKhFmbW3Loasnc/t88oTICiSBjyQgfJiePfXjyOHDrF29hpDQUHR1dKlZuyZO452wtS2v+K/l9yIFTX5fAXL8eZbAuTOn2L1zpxICv2Wr1rRo1fo/YxVi5uGD+8yfOw9f31PExsYqAdj69OlJxy/+h6mZaYonQfIsNDkwSSDHElApHye+J46xetU3XL9xS3EkrlixAlOmTsauStUUE5Hm2OFkQsekoMkEqLJKSSAnEBAOhUrMC1WyEsRLnOx4uwgx8+zZU7w9PTl8+Khy6sLKqjjjnMZh36Tp38dEc8JYZB8kAUngFQERZPDxg7v4+Mzj5Elf5SRW2TJlFL+amrXr5uvkolLQyKdEEshgAm8i5L4vpHsGN5nu6oR4CXj5AlcXF06fOqNYZsqWKcVU56nUqF33vceW092YvEESkAQylIAQNU8eP8bby5OTJ08poQuqVq3CgkULKGhhmW9FjRQ0GbrMZGWSADx5dJ/z587R7rPPlfgSObFERUWybvU3rFu3QXH+tSlbGpeZM6lUWZitU44LkhPHIfskCeRXAuLD6bn/M+Z4+3DgwEHFMVhsFy9cvIhy5SvkS0dhEVjPacwYxZ/I3dOTps2apfp7JgPr5dcnR447XQRuXruKs7Mz3bt3p0v3HkqAuJxUxNHsHb9uU0zWwgG4dOmSeHh4UKFSZbT+tS2Vk/ot+yIJSALvEhCi5snjR3h7enD8hLDUqOj3VV/GjHPKl1bWp35+HDtySAkeWa9hI0pYWacar0cKGvk0SQJpIHDj2hWGDhmu/KC4urnSoKF9jjEBC9P0lYsXcXaexsOHj5Q+enq507pt+xzTxzQglpdIApLAawJi++nBvTtMnDCJW7duU6BAAcZPGEfHLzrny+B7QuS9nc08tYUiBY18hCSBNBAQgmbI4OGEhoZSpUol5sybS9FiVjnCBBwZHobbTFd2796nHM12dBhBjz798+XXXBqmUl4iCeQaAvv37GLyZGfFH66ktRVLly+jVJmyOeJ3JydClIImJ86K7FOOI/BG0AQHByv7t3Xr1MRxnBOV7Cpn64+LyE2z6ecfWbp0OZGRUdSvXxcvb28KWlgoWZdlkQQkgdxLIDI8nLVrvuH7738kLi6OTp07MXnKlFSTXubekWZMz6WgyRiOspY8TuBtQSP2tEXm6Dq1a7J42RIMDE2yTNQoyRvFsW1USnyKp08eM8bBgdt/3cXQ0IApzlPo1LmL3GrK4+tRDi9/EBC/NdFRkTiOHo2v72kMDPQZ6zSOXr37ZNlvTm4iLQVNbpot2ddsI/C2oHmT2Fg4BtepU4uZbrMoUqx4lvRt/97drFu7TjFBd//yS0JDQli58hsl63KXLp2YPNUZPX2DLOmLbEQSkAQyn4B4tr//dj0LFywiLi6eZs2a4ObujnlBi8xvPJe1IAVNLpsw2d3sIfBG0ISEhFDepjQBwSEEBYWgqaFB+w5tcZ3lkSU+K1s2bcTHew7R0dF0796V06dPKzmaChcqyPyFC6hWo5b8csueJSJblQQyjcBTv0eMdRzLtWs3KFDAjFnubjRr0SrT2sutFUtBk1tnTvY7Swn84xQcQufOn9Phs8/x8vLizu07GBkb06NHN74ePARjE9NM7dfbySlFksmAgCBETpiePb9k7PgJ6OnpZWr7snJJQBLIegLJyUns3vEbCxcspkaNavTq04eq1Wvmm48XsfX2prw57ZTSLEhBk/VrU7aYCwm8LWi+/LIrEyZN5eTJ43jMcldEhRASQ4cOoXffvujpZ17gvbcFjb19Q8wKmOH/zJ9Ro0dRq0496TuTC9eW7LIkkBYCwpcmLCQIY1NztHW0FR+6973c01JnbrgmMCCAK5cvAmpUrlIVi0KFUh23FDS5YUZlH7OdwNuCpseX3Zgy3UWxjPgeP4qLiyvBwaGYmZkyetRwun7ZK9OC2b0taIaPHMGAgf2Ji43DyMgYHV3dbOckOyAJSAKZREBYKd448GVSEzmx2lO+vkyaMFEJrOfqPgt7e3sZKTgnTpTsU+4h8G9BM3WGi3IsWoiaX7dtxctzNgkJiUoArBku05T97cxIN/C2oBnl4MDIUSNzD0TZU0lAEpAE0klA5nJKJzB5uSTwIQIpCRp1dQ0lLHlwUBAL589lx++7SEhMpGLFCrh7umNbrnyGx4KRguZDMyX/LglIAnmJgBQ0eWk25VhyBIHUBI3onDhWKbJcr165nI2bflH2dytXsWOa81Qq2FXJ0H1uKWhyxHKQnZAEJIEsIiAFTRaBls3kHwLvEzSCgrDUhIWF4u7qwt59r7LkVqhQHm8fbyVUeUYVKWgyiqSsRxKQBHIDASlocsMsyT7mKgIfEjRvLDVPHj3Cw8OdU76nFVHTvHlTps2YgUWhwhkyXiloMgSjrEQSkARyCQEpaHLJRMlu5h4CaRE0b0TNxT/OMd15Oo+f+CGiCTdp0pBpM1wzRNTs2vE7K5avICY2lv79B9D3q365B6LsqSQgCXwygcTEBESAT/+nj9HS1qV8hUoZuq39yR3M4AqkoMlgoLI6SSCtgkaQEvmWrl66gKvrTO7de6CIGpGWwGHsOEw+MfBeTEyMclT85s3rWBUvTsu27TEwNJYTJAlIAvmEQEDASyaMc+L27du0b9eaKdOmo6mlk2dHLwVNnp1aObDsIpAeQSP6KBJInjx+HB9vbx49eoypqQn9vupL3379MTA0/OhhCF+deT4+/PzTTxgaGfLzTz9QpETJPP2F9tGw5I2SQB4k8OLFc8Y6jObSpau0b9sCdy9v9AyM8uBIXw1JCpo8O7VyYNlFIL2CRmTDFonkDh3Yh4e7JyEhoUoOloED+9NvwNcfHaNGCBqPWbP46cefMDIy4vedv1OosKUUNNm1MGS7kkAWEwgNDmLyhPEcO3GKpvb18Z43H2MTszwbdC/LBE1EeDixcbFZPJ2yOUkg6wn8desmE8ZPIjw8DBEpWATWE3FoPlRioqPZuuknlq/4htDQMIoWsWTipAk0a9kKbe30m4lFThc3lxls2rQVY2Njdu3dg7m5uRQ0H5oI+XdJII8QiAwPZeqkiRw4dIzGDergM38BxmZ59zfg5s2brF+3DnU1dXr26old5cpoaKT82/tJqQ+WL13K2TOn88gykcOQBFInEBERwf37DxT/mPQIGmFRiY2JYf3aNaxZs47Y2FiKFSuKwxgH2nfomOqDmVpPkpOSmOkync2bf5GCRi5YSSAfEogMD8N58gT2H8wfgkb8hopYX6KIk6Pq6uqpzvonCZrx48axe9fufLik5JDzIwHxYGloqKdL0AhO4r6Q4CBWrVjOxo1bFP+aokWLsGjJIipUtEtXQkkpaPLjypNjlgT+IZDfBE165v6TBI3TWCFodqGro6N8dWpoftgEn57OyWslgZxGQJg927Vrw6BhI9IlRF6JmmDm+3ix/bddypdG2bKlmTtvDmVtK6R5mFLQpBmVvFASyJMEpKBJfVozRNDY2Nowe7YXZmZmeXIByUFJAm8ICCGir6+PsWn617owmz56+ADv2V6cPnVGGFCxt2/I5KlTKFa8RJryPgm/NTdXF3bu3C23nOSylATyIQEpaDJZ0FSys2PFqpVYWFjkw+UlhywJpIeAisCAAFymT+Pw4WNKjJoKFcqxaMliLIsU+2BFO3//TcnsHRwcLAXNB2nJCySBvEdAChopaPLeqpYjyrUEkpKSuHf3L6ZMnMTt23fQ0NSkRYumzHCdiYmp2XtPLG3ZtBHv2T5ERUVJQZNrV4DsuCTw8QSkoJGC5uNXj7xTEsgEAko04SuXmTp5Ko8ePcLQ0JA+fXoxeOhQ9A1SD7z3di4neWw7EyZGVikJ5HACUtBIQZPDl6jsXn4kEBcXx4H9e5ntOVsJvGdiYsyIkcPp3qMX2traKSKRgiY/rhQ5ZkngHwL5TdBER0Xy/JmfAqBwkWKvI62rpbgkMsQpWPrQyMdNEkg/ASVGTWwsu37fzqJFSwgKCsHIyJCpUyfRtkNHdHR0/1OpFDTp5yzvkATyEoH8JmhO+foycfwEZSve3dODRvb2mRNY782xbSlo8tLjIseSlQSEqImOjmL/3r24zHBF+NdYWhbGwXE0HT77HE0trXe6IwVNVs6ObEsSyHkE8pugybLUB1LQ5LzFLnuU+wgIUSNSKqxavoyNP28mLj5eSWbp4upCi1at3/kakYIm982v7LEkkJEEpKBpkWouPLnllJErTdYlCXwkARGjRhznXjDHmx279iqhvu3sKjJnjg9Wpcr8ffJJCpqPBCxvkwTyCAEpaKSgySNLWQ4jLxMQIuaF/zMWLljA3r37UKmgdu0ajHMaT4VKr1IkSEGTl1eAHJsk8GECUtBIQfPhVZIrr1ARFxNDTFwCRsZGaLwnaVeuHF4+7LTwofH3f8ac2bM5cuSoQqBGjRp4z/GhUGFL3sShiY6OlnFo8uH6kEOWBKSgyWeCJvj5E/xehlLapiyGenp59wlQJXF85xZ+P36ZcVOmUbRACvFLRA6h5w+58+gFyeKT/3URwdwqVq6KgW7Kx4NzLDSVisiwYG7fuUdCYtI/3VTXxLZ8OQqYGOfYrqe1Y0LUPH70gNkenpz0Pa3sF9etWxvnadO4ceMGs71m8/JlgBQ0aQUqr5ME8hABKWjykaARDpYnf1nDN7+dZpq7K+WsrXLcUo6PiWLHlh/QLVaZ9s3rvzcy7Hs7n5zI9nWLWL39BEvXrqe05X/zCyUnJbJ33kgW7buLmoam0pY4wa+nX5BV366goLFRjuPzvg6pkpK46nuAaR7ziEtCcZhVIhJo6zHVxY1GtSrnqvGk1lmxji/8cQ7H0Y6EhoYpoqZFi2aMdRrHwvnz2b17nxQ0eWKm5SAkgfQRkIImPwma5GQO/riE5dtO4uYzm8o2ZdK3WrLg6ojgAOa6TgKrGriMS1/W5ne6l5zItnWLWJOqoFERH/GU4Z17U6PnULp0aIGmhrpShZa2jpJkUUtLMwtGnHFNJCcl8MehnUxyXczS71dTyNgERaKpq2FsZIy29rvHnDOu5ayvSQTeO3zoIPPnzufp06fKfPUf8JWS4HLnzj1S0GT9lMgWJYFsJyAFTX4WNGWsuXX5HPdeRlGtbDFOnDlPaEQsZStVoWGdqtz54ySn/7yPjp4+NeybUal0cTTUIPbFXXafvkX9WnZcPH+eJ8+DMDW3oEHT5lgVKqAs6uTkJIL87nLw2BnCIqOV7MmlK1WlYZ2a6OtooZacyMHft1OodHme37+NX0gk9g0qcmzvCfYfPECyUSGa2zfApkY9WtStRnJCPDcvnOHsn7dITErGxKwgbdq3xczICDXFDKHi6YM7HDl6gsi4BCwKFyHozgV+PXqVpetSsNCoVLy8dYaew6cywXMBLetW+VvQvHkqY4MfsHvfearWq821MyfxD43E1NKadq2aYmKor1yWGB/L9XO+nL12R9m2MjKzoHmzplgWMicmMoyjh/ZTytaWhzdu8SxWja5ffIaRvg7+j26z75Av8YlJFCxiTTmrAty4/4I2rWpyYOs+bOo2okpFW9TV1YgKDWLPnn0UL1+FetXtUv3ReCNoprgt47vfN1O0QIFXFpo8WISVJjEhgV07f8d7tjdhYRHKcW5dXR38/V9IQZMH51wOSRL4EIHYmGh2bP+FGzdvYVOmNJ26dX+dLiVv/hLm6zg0qn9baEoVZdv6pWzYcYyC+vqUqGhH2Iu7/HU3gMZN6vL88TMsS5bmyqkjaBW2Ya63BwVNjXhxcReDXVZhaW6MWbFSlDY35NCxYxiXqo67yxSKFjDixYOruM/0JBI9qteuQ/TLB5w8+yf1O/Zk9MAvMVaLYfzg/gQm6pCopknhosXo/FkTDv++i6PnLoGeCeXL2VK/7Rf0aNeUq8d2M3fZBuzq2VPIWIerZ06hWbQCzlPGUtBQj8jAR8x2dcEvXItadary8Op5bt17RJKeGctS2HISLM7t/Zkp875j3pIl2FoXV4SRyPAstjDU1JK5sPUbZqzdT4USZhgWKYm+RgT7T/zJWGcX2jauS2J0GNvXr+S3Yxep27gpekmR7NixkxbdBjJqUF/8719g8lhnVOq66JqZU9SmEqOHD0IV8QQPNy8wK4FtiUL8ccqXsNhEDC1L4zNrHJ5DBlC+02CG9uuOtpYmN3x3MXnmAgaMd6Fza/sPCprJM5eyesv3FDE1Va7V1NRCU0sT9VfKL0+VmJhofI8fxc3Ng8DAIGVsVlbF+axDe/oNHISRInjz3rjz1CTKwUgCGURApUomIT4ekQ9OQ0MTbR1t1NReWd7zYrl58wYb1q5VTnn26NUbu8qV80+k4JQEzda1i5m1chujJ0zhyy9akRAdgUP/HvjFG+Ll5Um1imXx/f1HZq/bzpIVKyhXqgTPL+yg0wgP6rXvzowxgzDS0WTHhsXM/2434928+aJpDTb7TGON7z0WLJxHhdLWJCfFsX2ZCyv23GLxkoVUsS7AuIHduRpmgOfcuVS0Loq2pgYRIQHMcZmMmlV1pjoORVdXF5IS8Rw/Ak2b+jgM6ouhng43T+9jhPMCXH3m0bhWJU5tWcOcn/Yzw92dKuVKExX6DI+JE7kWEM/yFARNcmI8v69ZgOc3m9DTN1CyOgtF06lbH4YP6YemKo7V3q6s+HkfHXv0Z9yYIcQEPWWswxhqfzmMUd3acevsIZym+9B92AT6d21NXEQwbiN7o2bbAtdJY7h34nuGT11B8RqtmePiSMECppAQw49e49nzEBbPn41FAWMC/zpP/6ETqNDsC2ZMHMnKKQOJK9mYyQ5D0dVUsd59KtsuBrJszSJKFvqvL9CbB/WNhWbcNE/UtHTQ0tRUFrptdXvmek1FV0uD6KhY9Az089Spr/j4eL5dv44Vy1cSExND4UKFmDbDmeYtWyvjl0USkAQkgbxIQBySiI+PU3ZAxIf4KzeJfJLLKTVBM2/nn2xct5QS5sbExUTh4jiSMKtazB43GBN9bW6f3oeD62K8FiykegVbXlzcQdcpq3H28KZd7QrKF3DQtT30GOJK1yHj6PN5MyY7jiaieE0WTXfA1EAX0fZV330MHuvG9HkL6FDblnEDv8Skfk8mDOmNga6Ost4igl/iPWMS6lbVcRk/SnnxxkaHMLznl9To2IfGtauhpalBbMBDxk33ZsgkV7q1a8L6WU6ceZ6MxyxXilgUQJUYz9Y1C9mw83SKTsEJUSEsme7AzktPqd+wITqamqjUNWnZ7nPq1ahIQmQIXs7juRSsy+I5M7EqYsGLx3cZN3Y8XwweS6emddi0eBqbzgYwaewQwgID+evmZQ6dOM/A4Y583qYxW+fOYN2Ra8ycPZv6NSorL9dHNy8ydtwUmvYYwvA+ndHSUCPG/zpf9nGgxUg3hrSrxY6lrux/po6n6xS0ogOY7DSR+l2/pmfHVui+xw/mjaBxmuZNg5bNMdDSRl1Dg/I16vNZq8aQEMCalZvpMXQYBY3yzgk3EaPmtO8Jpk+bgb//c/T09Ph60ECGDh+uWKdkkQQkAUkgrxIQ2+9vyvus0XkuUnBqgmbBvptsXbcMS1MD4qKjcHNyILJUPdwdvsJIW5O75w8xcto83OcvoGZFIWh20nXaBlxn+9C6uo3CMvzpGfr2GEvrvsPp80ULnEaPpECDz3Ed0Q99bU0E9AeXTtJz0DhGey+kR4PyjP/6S4q0Goxjv66K9UCpJ+glPjMmomZdHdfxo9EQPiThj+jXsTd2bb6gsk1pxa9ElZxIWHgktRo1o0JpK5ZNGcXNeH3cXWdgISwh73UKVhHy7D5OQ4aiU74lPm6O6Ou8OqItzJOi/qCnD5jkMJy6/xvEgB7/Q1NDjTtXjzDVeQHjZvlgZ63DmC96o1uzKY3qVCYmMgqDgpbUqGJH8aJF0FTFM33MSALMKuAx2QFLM3FsXMXZg1vwmP8dzl5zqFOlPKrkJK4d2Mz4+T/j/e0GKpkbc3HvBiasOsqShV6EXNzNqt2XmeU2HRvrYu99Jt/2oVm//WeKFXjlz6Sc3lJTU8RqYFAIBSwKKdawxKQkIkOCCE3WwsrClIigACKTNShayBwtDQ0SExMUv6CX/k9BUx/LwhZoar6ap5xShJjxe/SASZMmce3aTWXuOnX6nOEjR1PY0lJuN+WUiZL9kAQkgWwlkM8EzXIsTfX/ETSl6+M+ul+qgqbLlDVMc59N+7qVUFNT8fT0dr6aMIdeIybSvU19JgoLTUE7lnpMxMRAD7G3eenoboZN8sJz8RKaVSmJ08DuaRA06sRERTK89/9oN3gynVo2+vulKkSSsECQnMw3M8dy6mkC3l7uFClkjiopgc2r5vPtrv9aaISw87vxB4NGTaDthLmMblvzPw7Bj64exWGsK4OnuPNZy0aokuI5u9ED7603mbN8BRbJD/nf56PoOcmN3p83VqxGwtQnXqhCPEQGvWD0sKHU6NiboX26oCP6qUrg8K+LWfTNMbwWLaaCjTVhLx4yd9pE/owyZOO3q5TrHl8+zvDRrgya4MCJ7Zuo2L4vvTu3xUDn/daGDzkFx0ZF8d3KNXQfOoirR/aw8/JDTBLCeBH0ggp2NQn3f8Q9/wCadvySrm2bsPentdx8GkpY0HMiwiNp270P7Vo2zjHbOGL+7/51i0kTJnLn7n0leeVnHdoybsJECloUSjWnSbb+qsjGJQFJQBLIBgJS0LxH0Hwx3JMajVrgMHwAZSyNWTPfm+0nrjPDZx71K1mzaZkn63dcwHGmO+0aVCM88ClrF8zF934ECxfOplOtPFQAACAASURBVJS5LmNTEDSRwofGdTIvtYsyx3USiUkqdLU0WeDsgJ9aYcY7OVLcwhQS47j+1wPK2NoqL/rjv6xm/vqdOLrMolHVcty+cIrlS5bxMFLF8jXr3olDI+LPXDmxj3FuS5m/djWVihf+22FWCCR1Nfhj2zdMWbwFt4VLqF+tAvFRgSwcPpjLumVYsdgTtagnjO7Sl8JtejN99AD0dLUJfPGMWDVdrItYEOB3j9EjHOjlOJXPWzZ6taupSsR3/4+4+/zIuFmzaWBryfc/rufb736hYv2WfLPIS7FIhT27xbCvh5Kga4aOUWE8vNywLvZha8MbQTPZbRnrt/30ziknsd0VHRbCHBcvRsycxqlN69lz8QnOLk6E3vZlwZrdOM1wJuaOLz/6PsR92nh+mueOv641w/p35cWVIxy68oQho0dh+Hp7MBueyb+bFGImIOAl7jNdOXbspGJNMjExoWRJawoXKUr79u1p1bp1dnZRti0JSAKSQI4hIAXNewTN/5wWKNsoUZExiqAIeBlA+0HjGDOwO/paGrz0u8P0sWO55BdByWKFiI0MJ16lxUSveTSyK4NOUqRy7b+3nOJjwvlh2VxW/byHItbWVG3dmakDu/Hw8jEcxk0HIwvMjA1QJcbxIlaDBYuXUK20JREBfiz1mM7Ba08xNTYkPCScCsUK8jg8ngWr3xU0SQnxHN7+LTPmfEOR4iXQ1X4dEVhNk76DR9GmWU3WeE5l86UQli3woJxVYSKe3mbAUEesW/Zi7ph+JMRGsWmVB0t+OIRVieJoa2kRHhpM5yGT6Pt5E55ePcTo6Utxnj2f+lVebcuJ8uDaeUaMGkOUmi7m+joYmhiiFfmUEva9mDFuOBrCpyYyiMlDB3P06mPGuc2mR4dm6Gh/OCaOEDQXDu/EafpszC2Loqfzyi9JpaHDMAdHqtmUYK6LFyNnTsd303quPAXnmQ48uXWN1es2MdnTlegbR3FZv4/5Hq5sWeKNZZ32tG5Sm8SXt1nz86/0HjqOAsYG2f6QhoaGMGG8E3+c+4PY2DhKlChG/fr12LVrDzExsYwcPZoRI0e8t5/CavjW9nO2j0l2QBKQBD5M4M0W+oevlFe8TSDvCRqVikc3LnLl7jMa2DfCwsSQ29cucfFhEB3atMRIV4uk+HhOHz9CvHER7GtUQktDndDnjzjke5GGTZpQ2NxMOeXU1Xkdk6ZNxyzkPg9DYyhRuix1atVAX1dX2XJJSkokJDCA40ePEh2fiEqlRq1mLSltWRBtTXXUEmM5vHcnhiWrUKOi7d9bPuIlEx0ZwImDxwiKTsK2Wm1qViiNECEPbl3hj2t3lWzLoo0qDVtQwaoQmhoaCKvLc7+H+J4+T2xiMmXLV6KobjJX7z7BvlUbxTH5TUlOSuLJ3VucOPMHKjX1V34WwoSioUP9Js0pbWnCHyePEpCkR+P6tTHU1SY6OIADR09QrFJ1apUrpTg5R4UGcurIIQKiE1GhhlmxkjRvUBtdHW0CH93m1JW/aNi0OQVN/km7kBgXw8M/fTl5zQ9dbQNKFNJi5ngXek2bQ7//tVK27/zvXcd1mgtFqjVmzMivMTU0TJMviGAX4u/H/iPHSUgSjF6f8NHQwr5JE8z0NJkzw/O1oNnAVSFo3Bx4fPMaa9YLQTOT6BuHmb5uHws8XNm0yAsd2/p0at+M0Fun2HrwAgNHj8H0dQye7Pi5EJaZyIgIvl2/lg3rvyM2Lo6iRS2ZOHECz1+8YMH8RYhcTqMcRjNy1KhUuyjqESEG1NU1lNNtskgCkkBOJ6AiLDSMSpWr0verga/cDf5VlN/2x4+IiAjH0NCQEtYllePbskCeEzRiUoWfgfgsFYtBvMjFAhCOn6+2WtSUvyUlJyP8pt+Ezhcvb/HflB9/VK8EjXAK9ppN8yplFIdfsaUhrn+7iP+elChe9q+KOBr9dywUERgtKUl56Wq8jtD75l7xYk5KevX1rK6h/vcRYyFklP6/qU/0+a1jueLvYjyiPWU8SoC/ZNSVtAZv9UylUsb8dl2v/qqmjEFUmShyIam9+ndxqxiLqFv88U2iy3+P781YFK6CoUqlMP67j6okbl/YR6BRJeqULqqItB+WzmDVrlts2bQB68IWJMT7MfmrUUSXqIbrJEcKFTBV/HLSWpSAc4mJ/7lc9DlSbDmlQ9B87z2D3RfvUKpsGUKf3KZxt6F81b0jOlrZd3JIHMtevXI5P/7wMxGRkRQrVpR58+cqGbe3//IL3rN9FEHTrcsXuLh7pvpjJjh9u3opXXv1l742aV1c8jpJIBsJJCclc+L4Ee7cuc+wESNSfG6jIsJxme7MkaMnaVivJu5ePhibmsmPFvF2U719HiqdE+k0dhy7d+2ikp0dK1atxMLCIp015MzLxYv6xeU99Jn5PVPdPGhRNeelT8iZ5ISaTOD0ju/xXLWZ+IRXgqlwMSv6DRqKfd1qaKrBD4s9+eXYn0ye6U6dyjaK9SmjSnxsDA/vP6JEmVKE+j8jMk5FGdtSREeE4+fnT5lytiRGBvHXkwDKly3F93PdMLWtSQmroiSraVK+YiUlQnJ2BehLSIhn6+ZNLF2yTMnhZGZqwmTnKbRq3RYdHR02b/z5b0Fjbl6AnXv2KH41KR1lFI/292tX0POrwUowRVkkAUkgZxMQH6DHjxzi+o1bqQqa/Jb64Mzp00ydMlX5jXNxdaFho0b5J7BeRixX8SKIiQjk+vWHlLarhLnRqxQAsqSBgEpFXFwsgS9fcPv2LXRMLaloUxJDAwPla0NYpq5fvgAG5pQrY60Exku7bebD7QtLm7BeicUv/lkIKmE9UqxPiiVLnMRKJjlZ/HsSP8zzoGidNjRpUFM5WaZYq7JpeyYhIYE9O39j3twFBAQGYWJizMQJTrRp/xl6+vpKv94WNMbGxuzauwdzc3MpaD68NOQVkkCOJyAFzX+nKF+nPsioFStehso2lfpr/5OMqjif1KNsjSULC436fywwwvfoVSyc7I1wK7bX7t/4E/2CxbAsbJ6t/RGRgPft2c3SJUuVRJRia3D4iGH0HzAQfQODvwWLFDT55AGSw8yXBKSgkYImXy58OehPJ/DGavOOD9CnV5vuGoTwu3r5MmMcHQkMDFa2h/r370v/gV9jbGL6jvVFCpp045U3SAK5hoAUNFLQ5JrFKjsqCfybgBBV9+/8hdtMV87/cUmxEnX64jMcxo5TAuf924olBY1cQ5JA3iUgBY0UNHl3dcuR5WkCQsw8efwQT3cPTp8+q5xIs7evx3QXN4oULZpiBl0paPL0kpCDy+cEpKCRgiafPwJy+LmVQGhICD6zvZRAeWLbqWLFCszy9KRMmbKpevFv27oF79nehIdHIJ2Cc+vMy35LAikTkIJGChr5bEgCuY5AUGAAC+fPY+/e/URFRVOlciWmODtjV7mKEssotfLo4X083GZx4uQpKWhy3aznnw5HR4Tx6MlTSpSxxVAnfwZ9C3n2kNBEDayLF0vzgQMpaKSgyT+/EnKkeYJAfFwsy5ct5fvvfiQ2NlbJ8O3u6UHdeg1SjAz69qBFEMeZLjPYsuWXTBU0iQnxnDx8gAQjSxrVqoKe9qs4NslJ8dw6c4pwHXNqVqugHLvPiOL/10XWfreDdn36UaN8qQw9yp8R/cvIOpITYzmx7XsuPU2i/+CvMDXUy8jqs78uVTKXT+1l/pqdeC2aRzHjt8YnwjrEhPLT+nVoFalIr05t0vyyz/6Bpb0HKlUCm7ym8cTMjjGDe6b5OZGCRgqatK8yeaUkkM0ERITf7dt+YdWKVQQGBipRgB0cHWjTth3ar/NSva+L4qj5TJfpbN6cmYImmdDA43zZYTJR2rr4LFpCvWp2SjRnkYdshcMQHurb4uo+GZM0xGiKjYrgwL692Favj22p4imKlWuHt+OxejudvhpB97b18rSgSYwJ5WePaZwJ12HqtOkUK2SaoatS+GY9f3iH87cf06F187+jfmdoI++pTJUUz571s/nuYizfL56FluZbgTNVyUQ+v8W06e6UbNSZkX06p/llnxX9T05M4OyxgyRYlKaBnS2a6Yhg/k//VCRFvsRx6EiqdhnKV583R/ttBu8ZiBQ0OUDQFC9enL59eymBwGSRBPIyAXHEu1TpMthVqZbuAHzix2rvrt9xd59NWFgY+vr6TJzoROeu3ZWgg2kJ6Jc1giaJoJeH6NZ6IrFaWlRo3J6FHs4Y6WoTHx3GoqFf8dCgHO4+0zEz/ieHV2rzHuD3kFFDB/HZ4PH0/rx1il/kMdFRRMfGo6eni75eHrNY/AuMSLAaExVFfBIYGRv/neMto56bpIQ49m5cw49Hb7B22Tz0dP/J8ZZRbbyvnsToYFZMn0hA8Ya4OH71rqBS0qvEExIaga6+gdK39KQ9ydT+q1TEhgcxctAgyn/Rn1FfdkRP6yOimKtUhDy+xagxkxnk7E7jmnZopDFYpxQ0/53hP86fw2PmTOV3w2nCROo2aJC5kYJFniIRlv1N/p9MXXSyckkgGwmIH98uXTrjNGlqukzliQkJnDh2hNmzffDze4qOthYODqPo8mUPjIzS/iGQlYKmf1cP2rRuzO8HT/D1ZA+6tq5PUmzEfwSN6NPLZ485duQYsUmgqa1D3YaNKGVVlJDnt9n00062b99Gudr2VK9UjlqtOlK1ZOF3rDCRLx6w/dBZajdrQ/kiZkQH+3PokC9ValXn0e3r3PcPIlmvAB1aieSxpko+NpGs9e7VC/hevokaKgoWL0WjBvUwMdDl3tXTPAlOpLA+nL92B3MrGzq0tFfuuXn1Mlf+vE5isgqTAhY0btoYM2MjRVAGPHuM+AF9GRyJChXFStrQsEFd9HW0UCUn8ezBHQ6fPKtEmtY1NqdNq2aYGhko1wY9f8bpo4cJjk1GTUOd2g0aY1uqxH9/fJOTeHjhABf9E2ndpg36mmqcO3EU4yKlSA5+zIXbj0hGgyYtWlGyeOEU03AIK0zQcz98Dx0mNOFVANBajZtRylyP37Zu5cTxAzwIVqNj+9ZUr9eQ2lUqKHna7ly/yoUr10gUUbR1jWnVvDFFC1koeeDCQ4M4fuwEJUsU5c9rN9AvWJR2rZqhgYrH9+9x4dIlomLj0TcwpnHL5liYmCg54RLi47l89iQ37z1GQ0uX0kUtWLdqOU2/nkjPFnXeeU5EpPBHN/7g5N0QOrVuioGWipOHDmNUthL60cH8cekqiSKBbuPmFDZQ4/jRgwSGxlKgcDGat2yGoY6W4kDvu38HFqUrkxj8lEu37qGhY0DL9m0oaGys8BLBOwP9n3LW15fg6HhUmjrUrF2bSjallPkQLA7v+ZWSFStz/9p1nobFUtG6IBcvXmXL1u3Y1WtEFbtK1G3elspWFoiUKrcunOHPuw9JTOY/6yY24gXHDp/EPzgcbV09ShbUZ96ytbjPXUiFsqXS/IslBc1/UcXGxBAY8BI1dXVMTc3eCTT676s/KZfT5IkT2btnb5onS14oCeRWAiLysRAlIpFojy+7MXWGy+tEph8ekXj5HD58iFkz3Xj54qWSYqF3n96MHD0aA4O0ZRl/00pWCprBveYxztOH39bMJRATvL09MNGGxcPetdD4XTvNDBdPitdoRJmihXh4/TzXHkUw0c0FC1UAXu4L+ePaDQoWs6a4ZVH6Ok3EvlKZd75aH53fQ5+pSxjk7M1XTSvjf+MUkye6Ea+pRwGr0tiWMOHXX/dRoXEH5rtNQlstiSsHtzNryQaKl69D+SJ6XLpwgVqd+/N1l3bsWjubn/edQaWuia6eMRWq1mXsyH6c/WU9izYfpE6TplgYaeO7ey8G5Wrh7TYZXS015rtM41F4MtWrVCQxPIBtuw/RY+gY+nRuS2yIH55uM6FwBWyLmBH09Cnte/TBtrQVAfeuMm3ydNSLl6N25Yo8v3OJy3eCcJo5k3p2Nu9a3xKi2b98PN+ci2bB0mVY6KhY4DqF6/f8UekZ0axpXc4dPIR/oh7e8+dQ0arwfxZZfHQQnpOm4K9uRt1q5dEIuY9m+Ra0rWzBzGkenDx7mcKlbShRvAhd+g6gcc2K7NiwhC17ztOiQxvUk+I5uHMHRas1wsfNGW0tdW5c2MvkiT6KUDMyNaZsldqMGT6AOxdP4DxzMbUaNaCUVTHOHjuAf6w+K5fPx0wXNi31ZMvxmzRs0gT1yCfsPXiOeHVtlnyziso2Zd6xwAjxs95jPH/EFGD2tPHoxAYyZswkShU15kFgInYVy3Jw7x5MrCtQ2FAdPfOiqIW+4ODJizjM9KZnh8ZERzxiWJd+aJkVIUnHiJo1KnBi7x7CTcvz/eo5FDTQ5uzB7cybs4qilatTuUJZLvke5fazCNznzaNuZRuiwu4ysHN/NE0sUNPRx8SyOA3Km3PwyBH+vB1A2XK2WFjbMGaMA6UsDNjz0yp+2nWGWvXrY6qvydG9O9Ep14QV7uNJiA5k+sSJ3H4aQYtmDbhx6Sr3Hj/GoIAlS5cuxqrYf+cvtV8NKWg+/Hv6vis+SdCcPuXL48ePPq0H8m5JIBcQeOH/jG83/EBcfFy6BI0QQo/v38F52gyuXPlT+Trs+r8vGDRsOJaWRZSvjvSULBU0veczad5SjKLv4jpzAT0dp9KmYWWWjRj495aTqXYiC1wncSNMF09PN8wM9Ah5+QSfGdPQs2vGjNH9efnkIY7Dh9J+0Fh6dmyNtrb2f6y5QtD0nrKEQdO86f9a0IwdOx7rBp1xGNYfM30tfL+ZyoLD/ixet56CSQE4DuhPwXqdcBk/HF0dbYL8HhCtpou1VQl2rvVi8Q8HGTZpKu2aNkJXR4uXD64zYrgjTbt/zZB+3dFQJXHjzEGmeK3Eeelq7G2K8vjJEwoUMEdXW4uE2Gh8po3jjnZpFriMR+V3Cff5K3Bw9qSEpQXCMq187cdF8N0CNw7dDlcEiIWhHgmRQcyaPB4NW3tcxwxGW+st5+kUBM2c6WO5EqiFy1QnypUsjv/1U/QaOZ2J7j581qw+Gv/y5Xh5fiuOczcz3XsBZYsKC8urnGViNf119gADx3gw3mcBretWQldbm0uHf2Wa13L+N2Akvf7XBm1Nda7sWYPPT2dYunI5hUx0OfPdFMatOMNgh7F069xeyTifGOrHjEnOWNn/j16dWmGgq8XG1QvZvO8My9auB7/zjJ8xn3Z9R9GzUytUsZFs27CUzQcvs3LtGopbvurbmyIc4l2HdcOsdidGDuhN8KMbODqMId7CDvcpDpQrWYjv5jixcsd1eg0ZwZA+XQm4ehInp6m0HDqJkf26EnJpIx0Hz6daszaMHTmUEsUK8esyV5Zt82Xp+p8ophnGxMkzMLJtyKTR/TE3NcLvymEmTnGnce8x/J+98wCvotji+C+56b0nQELvvQhIV0ClSJcmvaeQRhJSSQ+phNC7ig1Q8KECiqIgIIJdeq8hpPd6c8v7dkMQBCRIS2Dn+3w+c3d2Z/4zu/vbM2fOcZ0ygszD6xnmup7Orw3B03kGtWyt0UDFoeVzWfmrisiYKOrXqhjjE/u2s3DJ+0z38qVXl/bISwtZFRfO99fg89WRfPfJGhZv/Y3wiGA6tGxEYeYNotydyTJpzOLFUVibm1b5FpeApspS3fPARwIa4WEtFUmBF0GBk8eP4jjHidzc3CoDjWCZuZ58DR8vL04cP4lSpaLvK70JjYzEwtKqSj4z/9RWsBIJu5y2bv3sCe5yqvChmTUhEb/Fq2jdwIaNCQEcSpERG+LJR76ut4BGN+cynq6u6DTthpvTLHS1NBGcgD/asIKzZeZ8kBROTmoyLrNm8OZsLyYOG3DPpboKoFnKzKC4W0DjLcCIUxjj3+iFTENJ7vGNjJu3leiV6zDOOceYOV54RC9j3GvdxRe0oHdl+XzdQj46kkpidAQON51u/zr4DR4+Qcz0CaJXp3ZiotSsq6cJCIuj4/QQwsf3AaWCorwcsvILUCvkvLc8gSOlNqyPCcK4LI3Y0GCuatXBa9ZEmjVphKGBPsVpVwhxm0WeVUt857mJ8CK0ZePyWE4Um/BuYjgGerp/D+U9gGZRqDdFtbuwwGkC+rq6lGafZ8AbbzPTP5yxw15D+x8Z6XPO78PNOxaTNq/gNnUcjerZi5Y/cTnm8w8IXrmNVRtW09Shtrgcl+A/lwPXYFlSFHWtzcXlvrSjW3GP2kb8suXYGpQTNf5tTps1Ii4+hrq2FuIS25HtGwhe/TkhsbHkXT1DSrKwtLif9oPGMWf063wcF8Inf2Swdu1SGtWxQV1exI53FvLhd9dYsWa5CBO3A01J3mkmD5nOUPdAxrzZnzNHduAftor50fF079QWmbKYlb7T2H1Nj8WJcTRysOP491/iMz+cCQHRTBjWh92JwcTs/IXQuER6dmojOh3v2hBG9IbdLN3wITd++h9LPjtE1JKldGooBKjUoCD5VzxcfWj22nTmzRjBZn933jt+g9ily2nXpJ6Yb05RlkP48OGkN+tLdIQ35saGqEpySAr148eLBXj5OJN64SLnTx/jwK+nGT3DhTdeakKItytW3UcS7DwFHR0tinJS8Zg8Ff2Og4mcPwsTw6r7hElA82hvk0cCmke7tFRbUqDmKHDy+F/MniUATU6VgKYCZq6StHgx3+3ZK2b6frlbV7y8vWncpOlD+d/crtKJY38RGRHJn38efWpA075pHU7/up/AkFj6T5pF4VcfkGLaUnQKVlw7iYebJ8VmdejTq4doSVCr1CjVKqzqNuXt4QPIvnHtPwGNjwA0zuGMf6Mnmhoq8k99yBjXj4lcuhqjnHOMnxtI8Mr1DHm53R27UQTtBaDZ9HsWi2MiqG1mKGw455c923HzCqXb64No4FBblFVIQqtQqmjeZwivta7FN59tYdeeg5SqQKVWcvXieWTN+4hAU8dEixO/HeGLTzdx4nI6dg6NcfKYi5VGMfNnTCdN35p+fV8Rv+qFIsCnZb1mjBnyumhBulXuATSJoT4U1ulCsOME8djSnIsMfH0sU7yDmTBq0J07hYDyshL2797O+5u/IK9QzsDRE5g4Zgh6MjWbly1k26/XWbMsHmsLU1TyNFwmzqJWt2H4OE9GX2iLWsnPHy1i+ffnWZqUiCrrAm9Pc6fn2074zxwtWtAU8nzWhPmx47crvP56/5tLRxq07PAS3Tp3RKMwEz8vLzTavc7CuZMx0tOhKCOZhPluXDduweL4EAx0df72lVKrSfnxI8Z6ryIoYQmvdm7Nd2uDeO/HNOITE3CobUtJ5kU8J83GqOcoInxmoS9T882nGwlb+hGxa9+la0MLQrzdOV9mworEKKxNDEFdzvoQDz48dJV331/DtsVRnCnWJzEuAhMjA2GUuXRoBz4LohnkEsK4V9vj5eJMiXVLVsUH3wpJkHftFCPHzqT/zHl4TByGvo4WWReP4evhTbrMlld7dRDnt5aeIZ26dadjy6YkX/gT12lOOEYkMvDVnqJGaRePM22mG297L2DsgD7o/ANG/+2pJwHNo70TJKB5NP2k2i+IAg8LNDeuJxMRHi6mNBAyaffu3QNff38cHOr9a+C8B8m57dNPxEjBBQWFTw1oOrWoR3lJLuvjQtj160XqyvOQNe4hAo1ewTXmu7tDg65EBvuhe9uuEE1NGdo62mQmXxaBZtAsLyYPr7qF5p5AM/djIpetxkqewugpc5kWEses4f3RlmmiViooV6rE5J4C0Gz+I1u00NQ2q3ipnTi8j7ke83FaEM3Qfj3/llpDQ3yB5588iJtvOH2mezPmjZ5ooWRZVCB7c8xEoHGwMECIAyQsm1w7e5wlixKo22M4c0f1YeG8OaSbNSMhOkJcrqosmjKZuINNcFR9KKDJvcjA1yqA5u1Rg+7c9qsWXJDVKBQK8rPS+TApjP/9dIE1H2ymobUOcf4upGg1JDo0ABNDXVR5x5k00Z0uI5xwnDwSXW0tCrOSCffxRtbgJRb4uHHu52+YH7EUn/AY+nfrKDZVXpROlM9cklW1WBwfdWvZTCbTEpfaspLP4u0xj85jpjF79Ei0NdT8vm8n/mHx9J3sjvfUkXfs4BIsPh/Gh7DuuxOsWLWcJrb6BM+ZQa59V6IDXLE0NeTKz98yO2gRk/yjmfBqB5Rlpby/Ip5PDpzjg/dXoVtehJfLHKzav0bYvNloa2mSm3Keea5e1BkwA/+3exLp40WBgQOxkQsw1NelvLSIj1Yk8MGev4hdkoSDnhw3F2e6DJuG54xxt8bmzM/fMWteOAtiF9G3eyfRx+vS0UN4egZR/5XxRM6bIPZHsPgI/Rf+/+nfvmTm9BCiVq2jZ7dOqOTFfL0+iritv7JoSRKd27V6qBAEEtA86An4779LQPNo+km1XxAFHgZoigry8fHy5qefDlMml2NoaMDq1Stp36nzfbcbVlXGp5PL6c4lp04t66OJmtSTPzHB0Ye8rBxe6j2UmPgFooPkxrhA/nfkKglrVtPQuiKmiuDroym++DTJTLmCy+wZdBw4EfeZ40Xg+OeOyHstOd0faNbQ1EaXhVNHctm2M2uSojEy0OPYvl2ck5sw/I1eolPwnUAD2VfPMGXaLGybdSVuURQmInypReuZsGyR+tMu5gYsZKh/AmP7dkFZUsDciWO4bteZdTGB6OddoVCuQ93GDSjJvsHCBf7otX4d35kj2bk+gbU7fyds9To62VuKL0nhvBqaFS++O0pVLDT/AjR56efJKdbG3sEeIabN2pD5bP31Eh9u/R9WmsX4z5qAZut+hMz3wERfDw1VMfOmTaHQsiWxEb6YGujx+brFLPvwC7xCoxnUvyc/bPuA+PWbiVm6krZN64vNLS/LY3WwF3uTVby/djn64rKZWthgJi5v5aVcwneeFwXN+rHabxYpRw+wIDyWS5lywuLjGNiryx3LTUKMl2j/efyRJWPZ4iiMSrOZMW02ncbPEbdIG+rI2PvpGhZv2isCj4OtFWXFPEP8LQAAIABJREFUhSyPCuGMwoLlkfMpyEzDadpklNbNWJoQiaWpPrveSeKD746xZMUS7G3MWR08n29OZ7Bi5RLsLM1IPn+KQD8/mvcaipfLVNIvnWGukzNT/KIZ9XqPW2088tU2vKOXszAxie4dWolO/+nn/sTXwwedxi8RFx0ihi4QrHpoaKKlpcGFEweYPdENl4WLGdy3G/u2byI+aS0yC3uWLk+iWQP7qt7a4nES0DyUXHcdLAHNo+kn1X5BFKgq0JQUF/POO+vZ+O77FBUVIsRo8vf3pVvP3mJog0ctTwtocjIOMM95Na4RcbRv6nBze24xO9clsnzzbtp3H8SCIHcxsF7GlVMsX76ci+ml1LG1El/kBfn59Bs7nZGvdqGsKI/YYD9+v5RFk7q16Drehbe6Nrtj98u1P/bgHLWBCZ7BjOvRgrQzPxMWEU3faT6MfLUbmhpK8s9uZVbAZwREJ9Cing3nf9lD9JJ3KDWwpr6JjOsZubzt5MmAnp345qMlbD+WS3iQH3amFT4MivIyLh7+mrjVHyMzscLMyBBleSmZCj1WxYehoyxgSWw0h8+lieHqSwtyUBQXkWvbirhAdwpP/8iq1ZvQt7WltKiQzNx83P0W0KlFIwoyLrNs6WL+upBFPQd70WKUnZlB//GzGNnvZbRud/4uL2Hfe6F88HsJ4dExWOmoWZUQRpFdB7ymviVaeMryLjNu9GzGuXgzcnC/O5acjn33P5Z/9AXGFlaoyorJKyxlyFQXBvdoB/JCVkX6sefYDZo1a8jISc50bdOAHRtXsuHTr7F1qIepkT6pKSn0G/wWI4a9gameJlvXJ7L94FmiE5NwsLW4CaUKzv2ym+DotVjXa4ChsHykLKN+yw5MnfQ22hoKPl+XxMYd+7Fv2AiFvJyGDRtw/OwF5vsH0bpJfXE7eGUpl5cS7usOdToQ4DqN3OQLePmHMtl1Hq/17IpMQ83WlQnsOZFCdHSkGOOoODeVRWEBGLR8Dfepb3Hj3B9Mm+VBrUaN0NPVx9RYj6tXUhg9dTZDXn9FdP4+cehrYuPXoDC0xL6WOYWpV3Bo24upU97G1sqcs38cxH9BDH7xK+jSquEtC8rFPw7g6ReJpX1d6tW3Z9oMR2qZ6fHZxtVs2XWAuo2aVDiLlxTSrtcAJo8ZQm76dRaFBnAyS0lDezvK1Zo0rSfj5CVNAoN9qWVRdYdgCWju/XQULNz5eXkIA2VibPKvAUgloHnUN4xU/4VQoCpAI3xd7fryc+LjF5GVlY2RkQH+Af68MXAwenp6/8kJ+J/iPh2gUSMvzeHc2WQcGjXB2KCi7YJvSmFeNhcuXMLIshb17O3EF60Q2yUvJ5PLV66jvOmYa2xqhr19HQyEoG5qNXm5qVy8cB21pgyHJs2wMjEUd+RUlqLcTM5dTcXOvh52FsaUFuZw5cpVTG3rinFnNDTUyAvTOXMxnfqNm2EofCkr5SRfu0JGdr54DRMzSxwc6qCnq0vmjStkFSuoX68+epXLYGphmUZO5o1krqVli30SdpmZW9eibm0bETryMlK5lJyCUqVG19AIEy0NCtChYT0HNBWlXL1ymbyiUrGusYU19erUQkdYYlKpyM/N5PzFq1S6Jhsam+Dg4IChYCW5/c2uUpCVconUAiWNGjdBW0NF8pXLKHQMqV/bTrRqKcuLOX7sNHZ162NtYX4H/JUIeZKuXKGwVI5ADBZWttjXtkVbSxu1WknWjWQuX09DpqVN4xYtMdbTpbS4kCuXLlBYIhclN7e0onat2ujp6aChUpBy7RLZReU0adr8tmVDNcpyOdevXScjKxu1BmiooU79BthYVrSpKDeHi5evUFauxNzSGhMjXbKzc7GvV1/s9+1FAN0LZ06ha2qJvZ2N6Dx+4fJVHOrWx8zUWPRzSr50iSK5igYNG4hLXMJOsysXz6FnUZtaVmacOrgbzwWrSVgfj6qwGJVajZ6RKQ3r1xXHXZBZAKcbyddIz8oVLy9E4HaoW08M/CpYGgtzszl/6SqNW7TGSP9v36ZyeTHnj5+mSKlEz8CYRo0aoq+nRUlhIcmXLpBXqhD11tHVx6F+/QqnYaWC/IzrXLyeIVptrGxs0VMVkC/Xo269Ouho/738WJUHpWShuVulP//4g8SEePEecnV3p2PHTvdNESMBTVVmmXTMC6/Ag4BGoSjnqx1fsnhxEmlpGVhYmOHs7MSQYcMxNLpzp8ejiPl0gEbgAxVKpUp8cNzu/yFAjfDQFUBAU0PwJ6jojWCGF3ZxVe40ErYQC34GlUWsp6h4IfzznMIxwstOCFYnbj0WHYtV4stKOL5yearyGsJ5KwFB2NUj1BPOL/xdqF9xPqW4NCL8950RmNW3HIEr2lbhD1EZrbay38L5xHPdbIOw/CAut9zsp1BPiEl0+9KZUEfwa6ksFX355/VFtcT+iu0TNRKCBFbsGBWuI2haqbPw3/+MpCv8VtnvSii7vR3CucUxuunrUdl/IdicoJVQRA2FtonNudke4frC3/8xQSvPV/lnIXlq5ZwQ26JUimN1e9vv3e+KJZXKLea35thtfRTOJbSwsn5lXzU0NBEiLH+9aT2bjheyJtRN9AWq1EzQ6PZxFtskaHzzXLe3p/K6t8+jm7MYpaKiL8L1BLAUzynMXXF+VoyRoJtY99bkrnAsr5yDwvG39+Fh7veqAE1pcTGfbv6YY8dP0LxZY8ZNmIyBkQCEz2c5sH8/7q5u4n0QExvLK337in5p9yoS0Dyfc0Dq1WNW4N+ARtjN8uOBH4iIiCI1NQ19fX3mzXNl+Mgx6OnrPxbLTGV3bgeaDh06sGbdWoyM7w1MwgP2gw2rGD9llui3IhVJgZqsgLw0n82r4lA7dGb8sMF3xvapyR27re1VARoByMrK5JSXl4svdmEpuxLknxMZ7ujG/h9+YK6zi9jHuIR4+vbrJwHN8zjQUp+engL3AxoBGo4f/Qtvb2+uJ6eIN93kyROZ5eiIiYnpY4UZobe3A42TsxPOc+fe9+aWgObpzQ/pSk9eAcFCk5V+A009E8yF5aOHDEr55Fv46FeoCtA8+lVq1hkkoKlZ4yW1tgYocC+gEZYdsrOzCJzvzcFDR0QzdK8e3QgJj8DS2uaRdzTdS5bbgWaumxsuc13uq54ENDVgYklNlBR4SAvNiyaYBDQv2ohL/X3iCvwTaPyCgjl79gxLEhM5cuRnFAolw4YNYbajIw4Ode/rtPaoDZWA5lEVlOpLClRfBSQLzd1jIwFN9Z2vUstqqAK3A83YMW8xx9mFyPBwvv9+n2j67tatK36BgdSrV6/KSSv/ixQS0PwX1aQ6kgI1QwEJaCSgEXcJiJvUpSIp8IQUuB1oXn2ll5hg8bvv94tRgFs0b0bconjq12/4SFGAq9L0y5cucfrUKcoVCpo0bUrz5s2lJaeqCCcdIylQAxSQgOYFBhrBR6CosJBLFy/QsnWbJ+KzUAPuAamJT0GBSqDJyckR444IW24FmLGxscbPbz6vDxxc7ZwUJR+apzAxpEtICjxGBSSgeYGBprSkmLWrV6JQIu72EIKXSUVS4EkoUAk02dnZYrwJIT6FADM+833o268/+gZCvqDqVSSgqV7jIbVGUuBBClQFaIRYSIUFeZSVlaCjo4uRsdkT89l7UHufxu8vhA+NEPtj7ZrVvLP+Hd4cOhRffz8x/odUJAWehAL/BBpLSwu8vecxeMgwtLS1H/v27Pv1QYCUq5cvkpWRLvrqtOnQ6b6WSQlonsRMkM4pKfDkFKgK0BQXFRIVHsrBHw/T9aX2LAiLRIjM/byWI0eOEBIUJFrA/QIC6N6jx/MVh6a8XM43X+1kUUISaenpvDV6NH4B/hLQPK8zuhr063agMTE2IiCwIqWB7lO2CgoRYhfFxrDjyx0YGBqyZes2jE1M7glUEtBUg4kjNUFS4CEUqArQFObnEeg3n2+/+4He3bsQm5gopv24MyL2Q1y0mh8q5MRLvnZVjExubWsrxve6XwyiGhcpWAg/vX/f90RGRJKami6Gox49ZowENNV8Utb05lUCTWFhAXMc5zB5yhQMDI2e+kNECOkeFhLM1q3bMDEx4ctdu7C0vPfDTAKamj7rnl77S3Iz+eb7/ZQrlRV7LISioUH9lu3o1LLxU5/nT6/n1etKVQcaH77ZUwE0cYmLMTF/foGmIv2FqiL32s1/7jdqNQpohME+deIYvvP9uHjx0s17TkMCmup1Tz6XrRGAZq6LK126dGaetw82tnbPpJ8VQLOATz6pAJqdX38lAc0zGYnn66KnDn3DLI8AjK1sMTOuyAsk5Gzq+sYI5owf+tBJFp8vdZ5ebySgeTStawzQCKb2w4cOERUZxdWr18QkZ5XOmZKF5tEmgVT7wQqcO32SHV9+yduTJmFtY/fMdjQJvmMVFprPJKB58LA91SOEZ5SQ0FOEAZnWbQkv//7CFH4ToFRMunlbkk3h7xUJKSsSSFYm97w9saSQMFE4RnAK1dCUickTb08KKibD1NAQM54L51arlGI4i9vN88JzUyj/TB558tBu3AOicfQPYnDvHrcsNEKySm0tLclC85RmkgQ0jyZ0jQGa68nJeLq7cuLEabHHdevWIiUlnfJyhWShebQ5INWuggJyeZmYEVnwmXmWa9U/H/6RiPBIzp+/KAFNFcbtaRwiJAssLSriyA/fsfqdD1GoVMwNi6N7i/piAsWCrFRWJC2mz5BxGBSksGztBvTrNCEwKBA7CxOxiUIm8oK8PNYGe/DzjSJM7OqyaGEYZqYmYrbn7RuXkWXSmK6qk0R8+huTHOcy+JVuZF09R1x8IpfTcun55ijaGhez/3IJgR7T2LZmMck6jfCYPvpWVvAvPlzHZ0dLWBnhiIGuzi15BKDxCIxh7oIwhvbt/TRkk65xDwUkoHm0aVEjgCY9LZWEuDi+/vobFAoFbdu1wd/PCw8PH9LSMiSgebQ5INWuggLCl7FQniXMCNff9ukWYmPiKCgolICmCuP2pA8R5sWNiydIioojQ9OQEUMHcv63/Wz79mcCoqIZ+Ep3rp35g0Bvf2T65hjb2tLQwZKvduyh69CphHpNQ1OtZP+uz1i+5kPavPwyndu34cddn3JNZUXMwjBsjSHKZx5X03JQynRAz5iJU2dgK8snInYRtg1a8UrPbnz7xadcS0mjff9RhM6bxRfrEvnqXDHxCxdgpq9NeUk20f4BNBw0kTF9u6OjJbsDaNz8FzLZ1ZPXe74s/l1LSxsLC/NnZo180mNXHc9fdaCZzzd79r0QPjQPM07VHGjU5Ofns3LZUj799DNKS0uxs7MlYVEcDRvUZdSocaSkpEpA8zAjLh1boxW4PfWB5EPz7IdSIS/mkzUx7PwljcAFfjSwtyPjj12MconEJSiSCcMHcObwbpznhdFj4HCcZk3FUFZC7CxHMuu8xNJlEcjkhYR5e2LVpg/Txg1FX1eb7z97l6TPjrBieRL1dXNwmeVIgU5dFoT5U8++NloaKlbHhPBHmiZhofOpZW7M1RO/EhAUwSsTnHEc/yaHvtxIzJbDrF2+iNoWRpw79CVRy7YQlpBAffs6wqrXHUAzxyMQQwtrLExNxcDrdeo3wy/AGwsTYykO+1OaahLQPJrQ1RpoCvPzWb40iW2ffU5RURHNmzchOCSElq3aUFaSx4gRYySgebTxl2rXMAUkoKlOA6Ym88xhps72xqFjH7q1acip02e5cfk8erVb4D3PRQScbzevJWnTHiKjIujYuhnF6Rdwnj4Xs95jSfSZTNp3q3Fcsps3x45HkXWVy1dvcCUllSGjJzHqzde48dd3ePonMM03hEF9e6CrrUXO6b14hK5m+vwQerVvIfrrXDrxG75+AcwISaJ/h6bc+HMfk+cnkrhqJa3qW7LEz5Ub+g1Y4DsPMxOjO4QUlpycvUPpP+ItOrZoLvr4mFpY0emlDuhpa1cn0Z/rtkhAc/fwCku6lb5fMk0ZGpqa950D1RZoiouL2LB2DRs3fkhJcTF2tewIjwinS9eXRe/7ovxMCWie61tb6ty9FJCApvrMC8Hp9qdta/Ff+gkDhgwWLRmoVbTu2IXWLZpiaGCATBPeT4rkl0ITgt3nYGNqwKVf9+EWFMtE7wWM7NmKNbOmsb9Mj379XkFDrQINLbq/9hqNatuhq6PNga3rSPpkH7FJS2hib4MGSg69k8S6vceITUrCxtJMdAD+efc2Fi7fTOK7G2hobUZJ+mlGjnbCPWoRDdTJuIckMdkzkNEDXxF9e24vAtAIS05O/kEM6tNT/EkI3CjkLNPQUFOSn8fFixdBx4D6DephKAUxfSITUQKau2U9ffIEG9evEX+YMHU6LVu3rVlxaARP/y+2f0Z8XCK5ubkIgcy8vDwZOnIUurp6oqd/YV6GBDRP5JaSTlqdFZCApvqMjlJRzs5341j95VFWrFyMraW5uDSjpa2D9k3/FJW8gGh/D2xeepMpY4ahI9Pk0M5NRK/exMJFSTStZYTb2IlYdO7LAl+3Wz5aOrq6oiOv8KzbEOPD/isqlsSHY25sBOoyNsVEsOfEDRJXLsHUxIjSogLi/Nw4UWrKhiXRGBnoU1qSx9y3htN7qgvXfvyay9gRusCb2pZmdy0h/ZtTcGlRPh8vjSFL2xpdRR49Bo+mQ6uWt3ZxVZ8RqfktkYDm7jE8sH8/nm7uaGhqEB0byyuvvlpzIgULTr9HDv1IZGQU165dw9DQkMmTJjBl+kyMbsZHkICm5t+4Ug/+mwIS0Pw33Z5ELZVSwS87NuK3bCteEQvp0aKBCCHZmZnY1a2HnpYmJRlXCPT04LUZ8xnwanc01Aq2rlvGpt1HSFy2nFrm2nzo6cwhLTsiQgIw0NEGpZzsghLqOdRBQ11OpNsMiuzaEezjioGe8EFXzvdrF7P2m99ZEBODtZEmR/Z+xPJln9PhjbcI83dDT1cHeVkpIc5juZ6lIKcMfKIT6Na66S3Y+qeFRti2PdPbl4GV27ZvwpmipIBIL3f6TphNm5ZNsbS0Ei1Hz9pB/kmM6bM+pwQ0d49Azc3lpFbzzTe7iY2OJT09HW1tbZycHRkzbpwY7rjyBpKA5lnfdtL1n5UCEtA8K+Xvvq74HMpOYX1iPF/+dBxdbW00NaBZx16EBc/DSFeXqz/vxHPhOwTFJdKxWX1UZUWsXhTDT+ezWbI0Qdx9lH3jNOFBMZxNyUSmqSEmGnx9zCScJoxClfoX0+d402O8K9PHDhX9Z4RQvnk3zhEdGs6RszewtrSi7cs9OXtoD6+Mm8mkEQPR1taiXF7GxmhfVm49gJNfIBNGDUZfV/cOZ+DKXl349QemunijoaOPsaHhrSWnlweNxmv6aE4f/ZlDu3dzNEvJbMfZtG/RSIx5I5XHq4AENM8R0Bz56UcWRkVz4cJFEV6mT5/CpKnTsLKyvqOXEtA83ptIOlvNUUACmuo1VoKVJjcrg0tXr6NUVQTVs7Gzx762LTItGYVZaSSn5+BQrz5GBnqolQpSkq9RWKamYaP6aMs0UZTLSUm+SmpGtlhfCKBXt2FjrMxM0CjL48yFq1jUcsDa0vwWRCgVclKvJ3M9LRNdPQMsTIwImu/BRLcA+narSFgqz0tjnrMTBo1fZp7rLGyFpab7QEhJYR5nz11AXq64LfOBBubWdjRwqCUufeWlXefLj9egqP0SU8YOv6elp3qNTs1rjQQ0zwnQnDj2F4H+AVy4eFnM29C7dw+iYmIxNzcXb/DbiwQ0Ne9GlVr8eBSQgObx6Fijz6Is5/C+PeRjQH37WqgVxez8YAmHLpYTk7iIhrVtUCvL2LY2gU0HzhOxMIrm9ezQkv0dd+Zh+l+Qk827yxNRGJhz+vefGDzFlUF9e0pA8zAiVvFYCWieA6ApLS3Bz2c+e/fuQy6X06Zta4IWBNGqdVvxS+OfRQKaKt4d0mHPnQIS0Dx3Q/rwHVKUsm/ndjZ/toMTZy9iamlDy+aN6fX6UAb07SHurDr7+49EJyxj9GxP3ujTFe3/CDNC4xTyMk7++SvpuUXI9Izo+FJHTAz0pNg0Dz9yD6whAU0NB5rsrEwS4mLYvfs7MXBe0yaNiYiKoHnL1vf1ZJaA5oH3hXTAc6rAsb/+JCoqkr/+PCZFCn5Ox/iB3VKrKS0pJv1GCleTUzAwMad+g7oYGRqKSSSFnFK5GaliZOFmTZugp6crwccDRa0eB0hAU0OBRoCSosICFifEs/3zHZSUlNCyRTOCQ0Np3rKVGP/gfuWfQDN48GCcnJ3Q1dOtHrNSaoWkwBNSoFwuZ0lSkpgGRIoU/IREriGnrUzHITZXQ+MuaKlM3ltDuiM1U8jppVSyf+93nDh5Gkdn53t+1Bfm5xHo9+KkPqgRu5yKCgtZtWIZn366jfz8Aho3bsSC0GDat+/4rzAjzPrbgeb69RtYWVpgZ2uLlvZ/WyOW7iRJgZqigFqlJjklhaysHAloasqgSe2UFKiiAhLQ1EALjUqpZM2q5bzz7vsUFRaJFBoWHsKgwUPEbMYPKv8EGsFzX4qJ8CDVpN+fFwWE+S/8I1lonpcRlfohKVChgAQ0d8+EA/sP4OnuLr7jo2NjqldgPbm8jN27dhIXl0BWVjbm5mZMnDCeiVOmYWxiUqV5LTzMS4ryWLAglIyMrCrVkQ6SFHgeFMhIT+Pq1WviTkAJaJ6HEZX6ICnwtwIS0Nw9G7IyM/nrz9/FdAfNWrTE1taueqQ+EJJM7d+3l/CwSNLS0m4FzpswcRIGhoYPZWVRq1Tk5uXdSlol3RSSAi+CAtu3fcqKFatFB3oJaF6EEZf6+CIpUBWgKSkuYuvmTRw9ekxM2Dxu4mQMjYwFR6rnUirBgCF8wAkhlIQQLv+2GvPUklMKy0zHjv6Fn6+fmNJAV1eX4cOHMdfNDTNzi4eCmcpRu8Mp7rkcSqlTkgJ3KrDpw/dZlLCYktJS2rZtw+p1azE1vXfANOH++GDDKsZPmSV+PEhFUkBSoHorUBWgET7my8pKKS8vF901dPX072uxqN69ffyteypAIzxYL54/h7+vHydPnRbX/4cPexO/gCCMTEz+E8w8fimkM0oKVH8FBKBJiE+kTF6Gm4c7M2fNvu/DTAKa6j+eUgslBW5XoCpAIyl2fwWeONAID9WU68lEhIVx+PAR0XTUvUcP/AP8cahbV0xRLxVJAUmBqilQCTSlZWW4e7gz29HxvhUloKmaptJRkgLVRQEJaB5tJJ440BQU5BPk78/33+9FqVTRqlULFiUmUtve4b6B8x6tS1JtSYHnV4FKoCkuKRGXa13mukhA8/wOt9SzF0wBCWgebcCfGNAIX4eZ6emsW7OKbf/7nNKSUtq0bolfgD+t27YXUxpIW60fbfCk2i+eAhLQvHhjLvX4xVFAAppHG+snBjTCLoy1q1bw7rvvU1ZWhr29PdGx0bRp2+6BgfMerUtSbUmB51cBCWie37GVeiYpIAHNvefA7RuAnvoup7LSUrZs/piVK1aRl5ePlZUlIaHB9Orzqri7SSqSApIC/00BCWj+m25SLUmBmqCABDR3j9L5c+f49JNPxR9GvTWKxk2aPL04NELgvI0b1rN+w3sUFBRgZmqCh4cbQ0e+JcKMtMxUE24rqY3VVYE7gcYVl7lz79tUySm4uo6i1C5JgXsrUBWgEbZtZ6TfoLioCH19faztaj/Xm2sOHjyIt+c8kR2iYqLp3bv3ff1vH+uSk/AA/eXwTwQFLiA5ORk9fT0cHecw7u23MTE1k+awpICkwCMqcDvQjBs7iqDQCNEf7V5FAppHFFuqLinwlBWoCtAUFxWSGBfDT4d/plPHtsz3F8KfPL/v12eSnFJ4eP7268/4+vjdjAKsxdsT3maOkxPGxlKsmad8X0iXe04VuB1oLC0t+eqbrzEyMr6n5VMCmud0Ekjdem4VqArQSNm2+z15C82ZkycIDwvn6LHjYuC8EcMG4+zmQa3adZ7byfesOiZEXf7tyAEMLOvSqlnDZ9UM6brPQIHbgUZKffAMBkC6pKTAE1RAApq7xX3qFppTJ0+QEBfHb7/9jkKhZPCbg/Dw9MBWXNvTfILDf/ep1Wo5+77Yzl/nr6G67WdtizpMHz8KQ71nFwJeABEhuaCesRmmRgb/WRd5aRERvnOx6TAQ16lj7nkelbKcoz98zg9/XkWpVovHaKCBrrEpI8eOw87U8D9f/1lUVCpKOPj1Dv48e+1Wf8Qemddh4qg3sa5h/fmvGkpA81+Vk+pJClR/BSSgeYZAI1hi0tPScHedy+nTZymXy2nTthXhUQtp3Pj+nshPclopFblEubmRrDDG2cURIwM98XLaegbY2Nigp6v9zFJ4FWSnExcVTp2X+jNn3LD/7CBdWpRPkOcsbDoOZr7j5HvKWVJwg5Bx4+Gl15k2bhTaWhVJvbT09LG1sUZPR+dJDsNjP3dpSSpJgb4kK+1wd5kpJioT/0dbD3s7YVxrVn/+q0AS0PxX5aR6kgLVXwEJaJ4h0GRlZhAWEsL+/QcoK5PTrm0rAoIW0LJ1a7S0no0lRKHIJnSOE3mGDoSFBWNhbnKHQiVFBWTl5GNjZ4eOlgzUaooKcikuB0tzU8oKc5Cjg7GBHplpaZQp1aJDs6mpkM3076JUlIswp1Cq0NDUwq52LbQ0b2Y7VSnJyMjCzMqS4rxc8otLMTE1IeXcKeJiFlKrwys4ThiJsYkp5mam4kkFOExLuU65Si1mTrUwv9PJq6y4kIzsXDRlMoz0dQmb74Rth8HMd7oX0KjJufArw8e6Mt4nhGkj+qOrc+d4qJRyMjNyMbeypCg/h4KiUgxNzLAwNbqjn0UF+eTk5qGhqYmVrR26gmZCUZWTmZmNkYkpgqZFJWVY2tihr6OFvLSEjMxM0JRha2Mj6ou2AUZ6WmSlpmNkZY2B3s3t+2olWRmZ6BgYY/wvVquSohQS/OaRo9+c+OgF93WErf6PrEdroQQ0j6afVFvccOWtAAAgAElEQVRSoDorIAHNMwIahaKcJYmL2LLlUwoKCrGwMGfFqpW0at0abe1n97X8r0CjVvPHwd0krHgf98AwurRpgrJczvtJERRbtWH6+KGc3LGC48W10ck6xVc/n0VersSucSuiQ/3Rv/kSluemEh23iDMXroKGJiqlmlcHD2PapLHoyDSgOJuwsDjGOU3k3fBYzheoGDZiEF9/8gkXr6egpVthLeo5aAQe08cjL8giJjaBcxeviMtkBgbm+MWE0dDKGk1NDcpK01mXkMiPRy+ioalN56GjufTth9h3GXpPoFGrVfy5ewsuUesIXrKS/u2aoiW7c+mv6MpvBCd9xowRL7H2w8+5kVNMvebtCfT1wEQAC5WKlN/3E7z8PYQgiUI/O/Toy5yZEzHW00OZcYaFCSvo0vtltn+8gxyFGreQGDrYaxO9YCHnbqSjqSWj15tvo3nhe8xfHkv/9rVY5OrH666e9OzWWexbec4VoqLi6TViKv16vHTfZ83fQNOM+OhgCWhKSpB8aKrzq0lqm6TAwysgAc0zApri4iJWLFvGxx9tEl94jRs3InBBEF1f7vafl1IefvjvrlEJNOcLZIx8ayRGhhWp1Zu2aEPDerVJv3aBRQHzyLdqQ3CQD2e+28qG7fvwCA6ndYNa/PhuECt3naNJh6507dAWdWkWX27/nGb9x+E6ZTTaajmb1i5l++EzDB8yGAdrU65dOMHuPQd5y8mbN3t1Qrskg2kz51KqLKdlxx7YWFnTqmUzLh7/nY83b8G8QUtefbkzzdt2EKFq05ql7D2RwpChA7E2NeDI7h38cjmP6PiFNLAzZ/PKeLbuPcaQ4UOxNdXjp+++5cCfJ3lzwqx7Ao1KqeDztXHEb/qOGTOnY2dpJi6zNWnekkYN6yMYkg58spKwtTto3bQx3fr0RFGYyQebd+CzaAmvtGrAhd/2E7f0PVp06U6H1s3IvX6BuJXvE5GQRL/uHTn7wxf4hCRgZt+Azl06YWJqSY9XevDtpg38dD6LwYMHYKxRwuefbCWloAz3sES61jdirfcUag12ZczwQWhryfj5yw+I2/A5wbFxtP0XB+cKoPHkdI4h48eOEMdUpqVFyzbtsa9l80zn3OOYt1U9h2ShqapS0nGSAjVPAQlonhHQCJdNSU4meEEQP/10RHyhtG/fjsioSOo1aPjMXjCVQPPNHxcwszAXv+S1tXWZ4ezG0IF9USnKyTq5D0ffRfQYPII/9+6kbb9RuM2agJaGin3r/fjwuAZRIYHYWVmgVpay/f2VrP76JCuS4rDRzCM4MJDekzwY1rMT2tpalJYUsiY6gGMFZiSEzcdMo4CpMxzRbdGPhPmzMDLQF909slOvEegzD4dug/F3miJqdOPSGXx9vJnmFUrPzu3QlslIOXaIN6d64hu/jMEd7PGcMZm6vcfhOWeS6NSclX4Z79lOtBw48Z5AoywrIjHAlS37jmJhYYFMcMyWaTPbxZ0hA15FMNa8G+XFpgPniYyNpVPr5lw7cxRf/xAmBEbSr7EVS0MXQJPuOE8eRXm5nPM/78EzYgWRSSt4tUtbvv54DVHL3sdjQThDX+sj+iZd+H0vYXFrmeYbQq+2TUGl5OCHi1n89UlWbliLlUzOF++EkaLdGqdpE9DWlBM7340r1CE2zBcTo/s7KgtAEz/fg10/X8bM3FzUTt/ACBcvX17p3qmijy9AkYDmBRhkqYsvrAIS0Nw99IeEwHrzvESLfnhkJL1feeXJbNsWxD939jRR4eH8/sdRtLW16dixPRFRUdSxd3gmk7ISaJIVJri6u4jLJ5oyLSysrDA3NRF9ZspKiti0OISV2w9i1bwzq+LDcLAR4EUuAs3uNBuCvN0rll7UavZ9+TFRSZuJW7YYazKJikjEJTKelg0dREtBubxMhJ6P951m3ZIYrHRKmTbTid6zg5nYp51oiRDKvYDm/LGDeDr70LrXa9SytUIm06A4O42tO/Yw0SuMsZ3q4DRtCm96hDNh2AB0tDQpKcwn0HMWdh3fvCfQlOSk4jtzMiW2bZjrPB0DHW3UGjLsbG0xNjZEXZLKfCdnDNu8hrfzNNFf6ORvhwiOXkxE3CJ0ilLx9fDCpuVL2Jjoc/b8RXR19ek9eDjDB/bDzNiI9QkhbD9ykbUrk6htbQlqJf9bHcs3p3JE3yUbcxOU5WVsCHbklyIr1iyNRa1QcGjXFj7+7QaLA1xJPfoDXiGLGe0WwKj+PdDR1vr3JSdfT64pa+Pl7ihObmFcbWvVwkBfD03RS/j5LxLQPP9jLPXwxVVAApq7xz4nK5MTx/4S37WNmjTH2tb2yaU+UKmU/HjwIJHhkVy7dg09PT0mT5mEk7MLunoVO4yeZnmQU7DQFkVZEe9F+vPed0dQGDjwwTvLaFy3FqryMhFovsmwJcjLHWNDfbHp32//gKjl24hPisdSlUZUxBLmxSXRtJ6wLV0DhVzOFx+s4MO9Z1i7JPoW0PR1jmB8r9a3nIXvBho1544eYJ5bMD4LY2ngUOeWZUuwQBgam1KedpE506YxxDOcicMHoi3TRNjlJADNPZ2C1WpSz/3CtBnz6DPOjXmzR94FCgUXfsPZw5cRcxcw4o0+aKDm8J6trH5vFwsXxZJ65hv8A9YSHL+IuvZ24uTR1dXD1MwMLS1N0fIS4+tKqp4D0QHzRKBQlJWwJMidbJOmBPl5oq8toyjnBm6TZ2DXqTdRoX6idezkke/wXvY57y0N5dPlMRxJlxETFUwdS5N/3X32IKdgwW8o/fpVLianY2CgR736DdCXqUhOyxYTo2qolaSlZWBlaUFqRiZ6KLh0NYVa9epRr65DjQEiCWie5tNEupakwNNVQAKaR9P7saQ+KC0t4ccDB4iJjiEl5QZmZmZMnDCOKTNmYmDwdOOdPAhoVKpyLhz8gsD49xgycSy7Pv6Ipj3exM99FjqaahFotpzSIiIkABsLM9E5dtv6ODYdTiEuKhQTeSqhAQH0nx3IkF6d0JLJKCstYW20P2fk1kT5u2OqUSBaaO4JNN7zsOs6kAUuU0V4uX7hFPM9PRjnHckbL7dH66Y1R6VSibBUnHYJl1nTaTFwKp6zJqOrIyP70mm85vvQst/Yuyw0aqWCk/t34hq6FO8V7/BGy7rIKndf3Zwrf+39At+wREKWb6Bb60aoleXsfDeR7X9mig63Fw5vwi98M0s2bKCpYIUSrB9qNZpaWiL8KIsz8ZgxiYZvzMR5wnB0tbWQlxSy0HsO1OmI/3wPtDVUHP76fwQtXMyQiU54Ok1GLez+OvcXM92Cmew4iU82bGSMqx9D+3b/V+uM0Ox/Axphh1hB5nVWLF2FUdOO6GSfJ0dpysQRr7LlvbV0HPA2pnkXOZxcxvA+HYiJjcOhVj1kRnokX7mOS1AoDWtZV2wFr+ZFAppqPkBS8yQFHkEBCWgeQTwhkof69rzcj3Cu0pISfjp0kNCQUHE7r6mpCdOmTmHK9Ono6D49S40ANGGOzlwp02fK1MmYGFcAlYaWPm1aNyfz8ikC5vvSqM9wPGdP5K8v32PRx9/hEx5J55YN2b/Bn8hNv9K8/csMGz4EefoZPnr/M96Y5srEEW+gKMnn/ZWL+PLHE8yaM4da5sYc/WM/e/f+xUy/QHq2a45OaeY9gSYvM5WwgPlcK9HDceZkrCzNaWxvy3uLI9lx5BKT58ykcR1bFKUF/H7mGmNGDsfMQMaK6GC++/0yE2ZMx1oftm3ewqnLKQwcO/UuoBF2be3cuJRFnx4gOMALIz1hOUZQQEajZs3Ebdm7PlrL4vd2suHjd6lrbUF5WQmLg1wpqN2dYLfJXD7xEz6eQbw6djpd2zYTgSY35TKd3xiKmZ4OuZd/Z/q0+cyMiGdAT8F/RUO00Hy4JJydf6XiOGMy+ZeO8r89Bzlz7jLzYlYztn8nUKsoyklm2oQZpOaX0G/4ONzmTMHMxPiBsYEEoFnkN48LxRbMmTnp1i4ntZY+zZs24vKRL9lyOJnXe79McdZ1tn++k7n+wajSL7B01XqUMiO8g0OxU+US5B/B3IR46ltZ8OGShVh3Hcqwvi/ftRPsEW6HJ1ZVAponJq10YkmBZ65A1YHGh2/2/EDv7l2IS1yMibnlM/Nbfeai3daAxwY0oKa0tIyDB34gNCSM7KxsLC0tcHJ2ZMzY8WhpP524NCplER8uWcyeX06CTHbrRalrVY8F/p7cOPkz7378BW4BATSvb09pST4bF8dTXqsVU94azC8fhbDlWAnNba04euEqKqWKpm1ewnHONKzMTVGrlSRfOM2Wd9Zy7Go2QgxemUyXIaPHMPj1V9HVlonbtqNiF9Fp+Az6t290a8lJIS/h4J7P+ejjnchlWnR//U1mjh1CTuoV/vfRO/x4/LoYj0ZDJqN2m654Th+PlZkJaRdP8MEHH3D8wg20dfXp1u81SpLPYd64PRNGDrpjPpXLS9nzyQd8sns/yooAwRUTXccMTx9P2jVvwK4t7/Hj+Uz83J1ER1whxs17yxKw6TqIEa90obggm68+28rXe3+kTKES69s3bEmAnwd6Otpc/nkXiZ/9gpurC03r2lZorFZy4divYpb161mFmFvVoVVzO7Zs2s3qrZtoYi3E1VFTWpyP6+SJpKlNiU2IEZftquLQW1aSw9b1K/j2yGlUYszjisB6ahN7gnxcyP5tB+v3naF9s0ZookbP0IwBgwdSnnWVYL9ACnVsWb52KToZlwhZEI3/2lXY6Bvw8dIoNJv0YNzgvmhr3d+Hp7rctBLQVJeRkNohKfD4FZCA5tE0fYxAUxEcrrCwkHfXr2Pt2vXiC8zGxhbPee4MHjLsKaVBUFFWKqdcobhDGU1NGdo6OmioVcjlcnT09MTlImFpR15WCppa4i6nHzb483WqJT6uTreCv8lkWujo6CC7GctFqVRQVlqGqjKlgBCBV0sbHR3tCnhQqygpLRMhTkumdWspQ9BHUS5HLi9HjQZa2lpihFvBD0kITKhU/p2sQYAafV1dUTOlQiG2Wamq+L0yu7IQZE/3HxF/b12jvFxYJbqdXUX/JmFJS15WJoKY4MQtnF+4frlCKQKCrra2qIkQ9fl2DQX9hOzpAkgIfShXqNDR1RE1FHlGrRado4V2qoSTK8v4avMqtv6Szfur4tAX+qks5/Qve4hYtoXpLq680kVwmK4aRKiFNgnald85rqCJro4W537bw6Zvj+I0ewaGujKu38jEoY452zeuIwcjilNO0qjHaPo0tcTfJ5Ch7r7079iUhQuC6T/Vg14dmt3qy6PdUk+2tgQ0T1Zf6eySAs9SAQloHk39xwo0lS+2vNxcli9ZxKbN28TW1a3rwLLlS2nUpFm1NosJu3Lu5RT8aBK/GLUFyNmQGIbCtD5WZsbkZtzg611fMdZ9AW+91l2EhbQLR/Gc40b/WZ6MGzbg72jBjyiRADtFuRm8szKRg3+cF6MpN+rQh9dbWrD5m8PM852PRl4KK9Z9xOSxI1gSFYNVCweuX06nVpvuhPt5YCikxKgBTjQS0DziZJGqSwpUYwUkoHm0wXnsQCM0RxiU3Nxc1q5axebNW8Sv9xbNm+EfFEjbdu2fkqXm4YURduH8vvsd/sw0ZvyYkRjqPz3fn4dvbfWqIfju/HloL199u49zV1Np9lIXurRtTZeXOmJsaIAAHTs2LubwxTJc3OZQy9ryse4sEhJ/lpWVCfkqK9JwCnFpbpqoBEuZ4JCsKFdSeO0MIUEL8VqWRG0TM3H5StilVRNgRujZwwPNSsZNniVa46QiKSApUL0VqASak6fO4OjsfM94K4X5eQT6vTg+NMK7QyGsuGgIqxNa/8oPTwRohCkjLFsIuY6WLF7Ejh1ficsuTZo0IWFRPA0aNq5ILFjNirhsIiw/acjQ0tF+rC/catbVx96ciqWucsrkZeLSmbAEp62jLS4pCbAg/C4vK0FY2dIX4sY8o0B4WeeOEREax/xVy6ltUpFHqyaVhwWahWEBtGvb9tbuuZrUV6mtkgIvmgLCe/PU6TNo65niPHeuBDTA6VOn2PjuO+JUmDRlCs1btHxycWj+bcIJtJly/TqxC6P4fu8P4lfiyy93JjQ8nFq17V+0uSr1txooICQVLSkqRt/YuErOyNWgyXc04WGBZt+e3ZTJ5TXGAlXd9JbaIynwNBUQPwwV5TRs1JTmLVvd88X9olloDh44wDwPTzGMSVR0NH2eVKTgqgy04EB76uRJfLy8uXr1mvh1Puqtkbi4umFSA7+Qq9Jn6RhJgSelwMMAjdCG4sICNDRvZkh/Uo2SzispICnw2BRQqRRiZPb77Qx+0YBm/w8/MNfZRYS7uIR4+vbr92RSH1R1BIXAe4d+/JH42DgRaoyNjXn77XHMcXJ+JtGEq9pu6ThJgeqmwMMCjVIhR6alU926IbVHUkBS4D4KCLtBNTQrlurvVSSgecZAI/pPyOX8+ctP+AUEk5aWjomJCXNmTWXM25MxNDKSJrekgKRAFRSQgKYKIkmHSArUYAUeBDTFRYWsWbGcn3/9jfZtW+Hi5omRsUm19Et9HMNQ7Sw0lZ0SdqF8u/srYmPiyM7OEVMkzHV1ZvSYcU8t8N7jEFg6h6TAs1LgdqBp164ta9atw8TU9L5fc5KF5lmNlHRdSYH/psCDgEaIG1aQn09JcQl6eroYm5giq2I8r//Womdbq9oCTUXgvQI+fH8j69aup6SkFAcHe4JDgunarftDbC1VixmnwyOiyMrOebZqS1eXFHiKCqQkJ3PlylVxG+McR0ec57qIQR/vVySgeYqDI11KUuAxKPAgoHkMl6hRp6i2QCOoKGxLy8vL5eP3N7J23Tvig9nOzgY/Pz/6vf5GlbbzimCUl8nIkWO5fj2lRg2O1FhJgUdVQEyPoaGBm4c7jk5O/3o6CWgeVW2pvqTA01VAApo79a7WQFPZ1Iz0VFauWMkXn38hWmo6dGiP93wf2rXv8ECoqQCaDEaMGMP16zcwNzMToUjY1iUVSYEXQQENDU3enjiREaPekoDmRRhwqY8vjAIS0NRAoBEsNZkZ6SyKj2fnTiHwngatWrciJjaGevUb/GvcjH8CzcCBA8QkmFI01Bfmnpc6qqGBqZk55uYWEtBIs0FS4DlSQAKaGgg0QpMFMLlw/ixx0TH8dPgIQgLEPn16Mt/XF3uHevf12r4daFJSUhk9Zgy+/n7o6+s/R9Na6oqkwIMVeFDKhud9yUlRVkJySuqtRLEybR1sa9VCT6vqsXfKinI5+tsx6rdpK2a3V5cVsm/3TkyadqFT87s/rsQkqz/t41RmOYMG9qe8KI/jx05Tv007aluYPHjQ/sMRQpTttBuplIuZXyuKkN7D3KYWZga6/+GMT7eKEEU89Xoy8tvbjwaG5lZYmxlXx8DxT1eg264mAU0NBRqh2UIOnvT0dDzcXDl69Ljo4NinTy+Cw0KxtLS+56S6F9D4BfhLQPPMbkHpwtVVgecdaM79/B0ewfEIWdc1NEFL14hXh41g/LDBWJubVKT2+pciPEuO7f+CwLh1uIcs5NVOrSi4dpS5M7wYFbiQIX26oiW78yyl+Zks9PLkpHZD1sf4cOLQbiLjVzMuZDGTerdG8zFPBqGNZ3/5jsCwREpUajSFjgLa+obMColmYNtGj/mKj/90ackXmDdjDjloIZNVwKaGTEbHkbMInDwYbdnjVu3x9+FpnVECmjuVvnD+HFs/+USM7D7wzSE0b9Hi1hz655g8sVxODzP4QqjnX34+QszChZw/fwlDQ0PRUhOxMAY9vbsTREpA8zDqSse+yAo8z0CjVivZvj6GlVt+wD84FFtTfc78foj3391Mr+nuuE8ehdYD/OqEZ0nWjSscO3OZdh1fwtRInxO7N+G7difRi+Jo18jhLijKSb3GfA9PGr32Fu4TR5Cbdp3jZ6/QsWtXLIwNHghRDzsfhW2629bEsPXQNTxdZ2FhaiyeQqatjZWNDaZGhg97yqd8vJqr5/9i6sgpTPcNonOntqJLgYamYKGxxsbcBC0JaG6NyYOARsw5WF4uJoEWXvLaOjrPdWoTweghl5eJSYe1tLXEPIH3K9UCaITGCT41Px7YR2hwGCk3UjE0NGD6tMlMn+2Int6dS0kS0Dzl55F0uWqlQHZWBkUFBeJDrE7d+v/6MHuegUalkLMqyJGvTxWx5p211LIwIe/yCfwdZ1NryBzmz5mIrpYmF8+cpFzHhOYNHcRxLC0u5Oyp09Rt0hwzI32uXjxDbqmali1aoIGaT5OC2H2+hNioUGwszBAyyV+6eJ7M7DyMzSzQ0ygnMCCAqZ5BvNa9IymXTlGmbUGjurXFsbh8/jRKXTNsDTQ5e+EiSk0dGjdrhpmxYQXsqNWUFOVz6sw55HIFpnXqYy6Tk1Egp1WzRnclxRXyjy1b4M4Fg+aEeszC0vgfz0NVOWd+/QPDuvUxVMs5dyUZLV0DmjdriqFBxQehAEUl+blcOH+e4nIVpla2NGlQryJpqVpFypVzZOSpsK9lweXLl7Gu14i6NpbiiyT53HHSC8qxq+OApbEWaZlFNGzUgOvnz5Cl0KFVswY3LSxqstMucT29hKbNm6GrrXXzvhGA5k8mD5tM0LJVvNqnOzIJYO77THkQ0JQUFxG7MJKfDv9Kpw5tCAwOwdC45iXafRIP1WoDNKCmpKSEb3fvJiI8kuLiYqysLHF2ceKtMePuMDFJQPMkpoJ0zpqggAD+a1Ys4+uvvsbAQJ+177yHkbHgg3DvxZXnF2jUlBdk4DZ9Bhm2vXg31hV9XS0Of/E+cau3MTc4lH7dO1Nekk2opwdm7V/H12miCBRnfvsWL59IghJX0a6hDYl+7iRr1iU+IQw9bRXRzlMotG1LoO88dDUVfLllAx9v3Y19s7aU5Kajb2zOtUsXCYpJpLm9MYvmTsew53jmTh2DjrYGIW5z0LZtRt71S2ibGHPxzDEadx/OfJcpmBrqkX75FKtXr+S3E1do1Kg+566kYGeqj1btViQGe6Kvd6dPjKLgBvOcXWg1aAqTRg4SIU20cGgI/4bca2eYOWMu7bp2JjszF119TQ4d/osxs11xnDRK/Ir/Ze8uNn/8CXJtA6ysrcX8ekOmOjNmQB80SnNZGRHIjmtatNDL4+jZS0z2DmV410ZsXLeOX/88RuMmdTl3JYd61vrIrJvhO8+R7fGh7DhXSkJSFA425ijKcljt48ZpDQfCIxdgcQu8/gaagKUrebV3N3FHqtAHIT+PVO5U4EFAI6Q+WBDgx57v99OrW2eiExZhYmbxXFtpqjpHqhHQVDgJFxcV8fVXu0hanEROTg7W1tZ4eXvx+oAB6OhU3OgS0FR1eKXjnjcFCgvyiYqMEsMdCOlDtn+xHRtbuxcPaNQqcq6eZtqsuZTVbsOADo1QlxSwf+9eOvYditOcqViYmZB78ltcfGIY5BjMhDd7g6qcHz9Zzvyl21n/0UfY6BTjPsMJ2wGOxMwdibroCtPHzqD9oLeZO2cKZw59QcDCNYyaOochr/ch9fxfBM4PQrt2M5asWo5+wRmmTvBmQtBCRvXvgpYyj6njpnA1u4ypsx15c0AvvtnyDp/sOc2ipXHUtzXhw1VJ/O+Ho/gF+tG0gQNXjnxFYOwqeoxzxmv6aPR0bjepq8k59yuznb2wa92V5o3qiaZ3A0Mrhr/1JubGhpz59QdmOs3Dwq4eLp4etG9Rl/eWhHAy15rVSRH/Z+8soKs6tjD83bgr7u60QHHXtri1FGiLawIJbgkJECQkSHC3QrEWa6FIKRR3KBR31yTE5ebKW3MCPGiJkUtjM2t1vb7mnJFv5pzz37337CHiwUVGeUwib8UG9OneEWtjHVM8h3PJpDgrpozAJPwho9yHcuZRKD26dKVBw9o4OdpzatdPzPpxDwOGDqNJjXIc+mUd3n4LadHNhSH9unHqp5nM2HicKbPnUaZIPu6c2ovrmGm07j+c3m0avZVGI17QfNvyW6o0bUHhwvkxVqmwdXSmdevW2NlYoQ57idrIDJu33GfiPR/+MggzazsszP+fPFKvjSE4NAZHB/tMmaojKUETGhLMiCFDOHj4GPXrVMd32gwpaF696NOVoHktVqKiItnxyzamTPYlTqMhW7ZsDB06iOat2ig7oaSgyWyfaTme5BLY/stWfKdMJSgoWDnk9eefN5C/UJEsJ2h0Wg1XTuzDbfQEcuUtgLE4UVyn5fnTx5StXp+RwwaTw9GGY+sWMGnxdiYvXUT5ogUQu6LmeA9jx009axdPJuzuBVyG+TB4znI+L5Ofhyd20nOwD98N9aJTi3pMHtqPR1ZFGTfSjbzO9sSEPMKrWx9CitViru8IruxZy/B5W/Gdt4AKBXIQ+fAK3foPpcl3rnRp01ixtuxYPY9V+28zfYonNpoXjPWcQIU2PenWoh5mpiaEhwQzbJAbLfqMomm1Mpi+tUNLvOtO71jNEJ955CpYBEszEzAyoUa9z+n8TWvsbaw4+ttGhnlNpd+IcXRs8wV6TRRrZntw+kU2fD3dWD3Th323o/AY4YalSsvLS78z5Yd9tOraj+/aNuPx5VMMHT6G3FVaMmVkL2ytrXj58DKjXdwp0aYnA75vj5WFBeEPTtKqTR+6jJxA53bNuHl6DxMmzWWYzzQ+K1eQlTMmsufcI6ZOn0bBvDnfWtLxgqZz8844lSiBg72d4lbLX7Q0g4cMxNHGir8WjeOKcwW+/qoNpq+sNnGxMSz2GkGFtj2pVf3T+Pr0emKeHGT0/COMHTUEJ5t/x1gm91lKr9clJWieP3/KoAEDOffXBVo2/5zxk6ZgaSXPQxTzme4ETfya1REaEsrC+XPZsOEn4uI0FCpUkAkTfahQsZLy8n6dWO/1tm25yym9Pp6yX4YksHH9Ovym+hEZGYWNjQ2rV6+gZJnyWU7QaONiObx1EQu3nGXmzKlYWlig16jZ/eNC5vxykolT/ahbrgBLp/J1pjkAACAASURBVE9i84Ugls/zJ4+znXJkiodbf1SfNGFc76+5eHgX4xZsZO2qJTjZ27F/4xI85/2M98y51C5qT7/vu9Kk60A6t/lSCVx9eu0sfdxG0aDLANy+acqWBT6sO/GYxfNmKvE414/vxXPJVuZOm0JOJwdU6Fjq780VTXbGuPXh2endTF++GY9JvhTJn1txGQU/usbIMVMY7DebktntMH4rkFkImi3zJ/PjgatM8ptCbkcREKxSAkGF1cJIr2HzQh9mrDnA4nUbKFMoNxGBD5nq0gWzmt/Q95smeLr0I9DIkbJlihEWHExMrDGtOn9D9Uqf4Ghvz9kDvzFx1jImTQ+gVKG8GKPn/J6fGOS/ivEzZlGzXDFl7Dd2r6HTyADGzZjLl/Wq8uTGeUZ5eNFtkAelspkwxnMCRRt3ZmTP9lj+w8okBM33rbswzG86tWtWVdxgxqYmyryJcnSKCxdzVKNThzaoVKbY2lqjjo7Cf0APqn47mM8bVVdimcQZRkZhx+kzeR9zpk8ku52VIR+vdFFXUoLm4YMHuPTvz43rN+jQoR1jvcdhYpr+t+7/F3DTpaARAxexAs+fPX2TeM/ExARxGJ/fNH9y5c4jBc1/sTpkG+mOgBA04nBXEWMmAud9p06mUZMvs5ygUUeFsc7zWw7ryxEwyQtrK0sl8PXPdYsYs3w7Pr7+1C6REz/v0YTaFWXi2GFYmRoT+OgcvbqN4Bv3MbRpWJVdG2aw+eBTFs6dpvBcOX0cPx26yZxFM3FUPaf3d0PpPdqbLxrUEG8lDmzbwIQZixg1eRr1q5TGb8ggHmDPdD8fLMyMOLx1OTsvBOE1ZjhWFubo1KFMGOFGwZpf8f1XTTm4cQkbfzvHhBlTye7sgC4uil+93Nn20poF86ZjbmzyTk4WIWimD+/NFW1OAiZ6KNaTt4s2OoQ5o4aw47KWjVsX4mhtwZMbp+jSaSBdvHxpUt6OPl1daNFrOB1aNY4POFYZKbtHRUCwkZGOnetnsn77VWbOm4mjnS16nYY9q+cwZ9Mx5i5dQMEczhihZ+74Eazcd5kFSxdRuXg+Qh/fYuTwUVRt/z3Zo5+w/ve/mOzrQ8Fc2f6xHhMPChbv+sOT+rE/LjeRwU8J11gwdNxo8tna4OfanarfDaFx3fL8uGA6e0/c4Lu2pVmy8zkLAqZkSUFz49oVBrq6cf/BA7p268qIUaNk/Ex6dTm9/bCKc57u3bnNzOnTOXDwMELU1KhRjdEeY3Cws1KOPpAWmnT3zZUd+ogE3hY05ubmuA8aQNfuvRIMrsysQcHhgfcZ1rYtOVv2YtTA7hirdLx8ep+5fpO4r3VivNcYnMy1jB85GPOiNZkw3IXHty/hP8Gba89iGO8fQIWiOVk5tjt3neswfsQALC3MmDrChdvG+Zk+dgixobfo1WUInQeNot2X9Ql8fIsFM6Zx8PxtAuYvokQeO4YMGIBzqap4DndDpY5gzfg+RBRvQb9unTAzMSHi2XWGDxhOywFjaFqvCn+sX8SqrSeYGDCNPM42nD20i4k+0yhevQnTpnj/e4dT9BOGdO+LY8UmDHfrjeWrWJL4oGAVYU9uM3TwMCwb92Z6t8+Vbern/9iM64QFTJ63gNLOsfT/vh+1O7nSv+vXmAl3Vlw00TpjrC0t0MWE8cO43pzRlcJ3ggdWFmboNHHsWT2b6RsPM3PRPEpkt+fCwd+YPG0eGucSLFowjTyOdmjCnuM5fDh3LAuSM+IelZt+Q4eWTf4RA6TY3N/scvIQQcH1ar6JfRFj0CuCpi9Lb+rp9F0nAm9f5MTNYEYPdWXZ6AFU6eyGc9w9Nu6/SLvWTflr90Z2PTJm6SxfcmRBC82xI4cZPWo0ISEhDHQbQM/efT/iGyftqw4KfMHF82eVjpT9pCLO2bInKODSrYXmNUaRo+be3TtM9fXl8KGjmJuZUbt2TYYMdaNXLxeePInPFCxdTmm/8GQPPj6BtwWNSFDWsmUzJvn6ZS1Bo9fz8O+jtPm2H/nKVKB0kfzERUfw8N5dLLIXpF/f3lQsXxpddAgzfMay9/wDqlYsS2joS8qWc+DA3rv4L1mCY+wjenbuRf3eI+nTsRlmMY9x7TuQYk264vJdazRRIYp76l6UKWWKFyLw2RNioiIJCtOyYOVyrDQhDBroRvWvBtCvQyMint+jf8eOtB48ga9aNlHcKvdP7WDwpOWM9Z9JxRIFuHXuIOPH+2KRpzgOlsa8fBnC/WtXadChGyPd+76bw0av58XZ3+k9xAuTXEUpWbTQq3wtxnxatyEtGtXm0eUzjBw7iaF+AVQuWgCVXsf2VbNZsP00ixfMwslSxTSP4Ry7Fcynn5TBwtQETWQI1Zp9TYtGdYh8cpU+XfpTrk13RvT/Xtl+rddquXvhIAPdRuFcsiI57a15qVYRfOsvCtdph8+QnliamyOCc3/0Gc2cLfup0qQlY0YMJnd2sdvmn8/Bq6DgFt9SomYt8uTJqQg3sUurQNkadG7TkJN+rpyxr0TPXl15fvUMHjOW4TXWg01TxlCpgwvBF3cTmbsqPTs0I+zWdvpNO5RlLTS/bN3C5EmTFS/G6DGjkzzP7eO/lT5uC0ePHGH0yJGoUDFuog916tRJ34n1ksIh0mbfvn2LoYOHcPv2HSwszKlevQqnT50jPCJCCpqkAMq/ZxoCbwsa8ev2k/Jlmb9oIU4JZNXOlBYavZ6Xj+6w9MeflWyzpiLfiVZLifKfUblieexsbTAzM0Wv0/Ly3t9s3vknMVpTqteuSV7dQ/ZdiaF9x7aoX9zjh59/o16zNpQpnBf9y3ts3LKTcvWaU65oAdBruH/5NL/+cRyVsSkVK1eDmGDu3I/kq84tUYeH8su2rXz2RTtK53EkIvAJK35Yx+dtvqZE4QLKh/3hxdPsO3eDZm1akd3OBuEqO37oAKcv3sDe0YnSBXLiM8mXjn0H07Vjm3fXqdjlc+8yG37ZQ1icXnERiZc6xibUqFufzz4pw5O7N/nj4GFatvkKe1trxdpx9tAfXHoSxldtmisWnfCQEPbu+IVHQWHKL1tjE1u+/v5rstlaE/bkDuu27aFS7QZUKV/ylaDSExsdxdnjhzhx7go2NnY0blQGDzdPvug1RgmWFsy1sdH8NMOTFX9eY+zEyVSvVC6BBHl6woKD2LBiGZGYYvRqHOLohnzla9C0ZnlO+A7gjFNl+vfrwYO/jjJ+zipGjx7FJt8xVPraheDLewjPWVkRmoGXt9A/4AgLZkzOci4n4VadOyuAJUuWK4cyT/XzpUbtOpnm/fa+gWSI07ZTOgNqtZrjRw/hMWYswcEvFfeTyJYoirTQpJSmvD6jEnhb0Igx5MiRgxkzp/NZlarvHVKmFDSAVqNR8lbp9P8/28jcwgIzU9N3zNEiKZ06NhYtKsxNTRHxtmqNDgtLc+XYlZiYWMzMLTAR6fh1GmJi1ZiYmWHyKpZFE6dW7tepjOLrBjRaLaItdDrUcWolIFMEzYqdV1HRMcrfTE3ik8rFqWPR6vSYmpphbKwiNOg5ETE6rKwsMELHqf07mBKwGE//uTSoVuFfcyjcP6JPos03RWWkWKrNzc0QP/biNHGYmok+iCR5IousuF6nxMm8zk8UEx2NcOELWsYmJpibmSvJ7YQFXGy6EP9NjE8UEbcT/OwRkXEqbGyslGDra/vXM3HpLvyWrqR0vuwYqfScP7iTSdPm892AYXxer9a/8ue8PRjBOjoqCh160UWliL7F99uIo1P6s/xyDJ17duPB38e4HGLGkP7dWTbKhcrfDMAx7i7rdp3j2y5fs2nzRm4HqVgwM+sJmqAXzxnsPpBTp/+iTJnSzAiYQcFCRTLq6yxZ/c6UgkaMXGzn3rd3D35Tp/HiReCbh0IKmmStC3lRJiDwT0Ejtm4PHTaEbzp1zlKCJkNOpV7Ln5tXsXjdTlSmpoijG4Sgqly/Bf17dsTRNn1svRXCbO+6BSzafEDZSSUsXRGREXzZ7lu6dW4fb/V5doNRwzyxK1OLQX27kMvZ8YOnRFiVbu7bzPVIU9SxkcRoVVStWZc82R05umMrecpXp0Aue478+SfBsRoKFs7L/ftBNG/RFBuL/+en+eAOpLMbE9vldOrEMdzdBinxM61bt8R7wsT3Hg+UzoaUqu5kWkEjfjnExESzf98fTBg3gbCwcGmhSdVSkTdnNAL/FDTCDdGkSSMmTXl/LorMaqHJaPMWb/rQEhoayq0rF7lw5To29jmo+FkFnBwcsLe3/VdAcFqNUbg1IsPDuHPzGmfPX8bKzpHKlSuRzdkZG2ur+GDk26c4cCmQKrVqkN3BPlVnMYn3ujo2RrEuCUuUXuzCMrdQrGnCAoWRcCsaExsTQ6w6DnMLc8XqJXLjJHXafFoxTE27CQkawWne7FksWbJMqX7ylIk0a9EqUzJ4m1+mFTTxLwU9ERHh7Nqxgzlz5vIiMEi6nFLz9Mh7MxSBf8bQiJdc9uzZ8PP3pVqN2v96uUlBk/6mV7jLhJvISGWMqbmZwQ+zNNSI4w8FVCtxSsLF9XbRisMRQXHNiWMMZDEcgYQETXDgC/r27s2ly1fJlzcPq1avJlee+PPDMnPJ3ILmlY9X+LVnB8zkhx/W0K59e7nLKTOvaDm2NwQO7t/Hxo0biImJUeI0Dh85rkT8d+jQnhGjRmNi+o8Pj0aNsUnmM8vLJSEJZFYC7xM04ofLT+t/xM9vOlFR0bRp3RJP73FYWaf3k9ZTP0uZXtC8RvTo0UNm+PspOzyGDBuGpeW7p9CmHqWsQRJIXwREcGd0TIySRC4kOIg+vfvw9Olz8ubNzey5sylVuty7v6SloElfEyh7IwkkQeB9gubZ08cMcR/E+QsXlUNpfSZOoPHnXya4fTkzQc4ygkar1fLwwX2uX79G3XoNEInGZJEEsgoBsctn5dLFLFi4WMnp0a5da4aNHIW19f+DS6XLKausBjnOzELgn4JGWGfWr13D9GkziYyMpE6d2oyf6EPu3Hkyy5ATHUeWETSCgvDzxqrVipiRR9FnifUtB/mKgEisde/OHYYMGsy169dxcnJk2LAhtGrb/s2zIAWNXC6SQMYi8I6g0euVY0769enD2bPnsLO1xnfKJGrUbYDpq232GWt0Ke/twQMHGejqqrzTpvr70bBRIyVty/tKus8UnPLhyzskgaxDQOT22LDuRwIC5iAsltWqVWX6zBnYO8Rvo5WCJuusBTnSzEHgbUEjdvUuW7yIlStXK8Kmfbs2DB89Gltbu8wx2GSM4u6d24jsyEZGxjT+4kuKFy+esTMFJ2PM8hJJIMsSEIe4enuO5cDBQ8oJ3EOHuPJVxy7KQy8FTZZdFnLgGZTA24Lm0J/7GDZsJGFhYeTJnYN5CxdRomSpLOeNEG631yWxXV3SQpNBF73stiTwmoDIDHvuzBm8vby5f/8B2Zwd8fL2omGTLxAvR7nLSa4VSSDjEHgtaOLUanwnT2TTpq3Y2dkyfMQwPv+yKRYWcvNLQrMpBU3GWeeyp5JAggTEy2/Prp2M8x6PyggGDR5Ep2+/l4JGrhlJIIMReC1oRLcfPbiPp4cnVap8RveevbPENu3UTJcUNKmhJ++VBP5jAqEhITx7/hy9Tk+27NlwdnZWeiBMsmFhoWzfugVHJ2dq162Hnb29cr6QkfH7A+j+467L5iQBSSAZBERKBhEvIoo4fyssNETZxSieZ+FGliVhAlLQyNUhCWQgAtt/+YV5c+cRExtL95496NKly5vei11Pwv0kTmQ2NTPL9BlEM9C0ya5KAh9MQK/XKYJGlqQJSEGTNCN5hSSQbgj8tGE9/n7+SrZQ14ED6O/i8o++ieC5zJ0KPd1MhuyIJCAJpCsCUtCkq+mQnZEEEifw9llOA9zccB3gmiJkwjUVf/SLFD0pAicvlgQ+EgFxXpY4hDMrHGPwoQhf73JK6twqKWg+lLC8TxJIAwKpETTCJXXi2GGyZctOsRKlpEsqDeZPNikJvE3g5ctgJY9UcFAQ7oOHYW3z/yzfklQ8geDgIK5euQR6KFW6LE7OTgn+IJOCRq4aSSADEfhQQSN+4bx4/pRBbu7ExMTSseM31KxVi9x588lAwww0/7KrGZ+AeBZfBgdx5vQZ1q9dy6XLV5TMt6NGDaNZyzZZLsdMUjN69OhRRo8YqViWJ/j4UKtOHZlYLylo8u+SQEYg8KGCRmQR/mHZQubOX4JaHYetrQ0FCxXiiy+a0KJ5c7LlzJ0Rhi/7KAlkaAIiaP+P33exZfNWrly5TmhoKCLlQvYc2Rg2bChNW7RKMK1/hh54Kjqfpc5ySgUneaskkOEIfKigibfQPGfxwvns3buPwMAg5ZeglZUVOXPm4JsOX/FpxUrkyZcPSwtLzMzMMJJbRDPc+pAdTj8ElF2HajWxsbG8eP6M69eusm3LFi5evkpkRCRxr+JmKlT4BNcBAyhSrLiS6TupOJH0M8L/pidS0Pw3nGUrksB/TuBDBY3oqLDShIeFcffubfbt3cv2X37lybMXyi9CK0tLbGxtsLW1pVixIpQsWZK8+fJTsnhRChQugqmZxX8+VtmgJJDRCIjDkgOfP+bCxUs8uPeAGzducOf2bYKCXyoiRpyWLQ5TtrAwV6yjzZq3oFSZMjg5OWFsbCLFzHsmXAqajPYUyP5KAskkkBpB87oJkawrMiKCG9evcvbMOU6cOMbJE6fRaEVCLyNMTU0wMzPHwsICZycHbO3sFUuOmbkpluYW7+yPKl6yBN926ZpgOvaQly/5YeUKnjx6pCT/M1RxdHJk+GiPBOMNxBg3rlvLhfPnRdZBQzWLuYUF7kOH4ejomODHZ8umnzl5/JiS/NBQRWVkRIdOnahY6bMEq7x75xbLFi9WfvmLAEqDFJWKEiVL0rVHzwTjFqKjowiY5kdoSJhBmnxdSf6CBejT3zXBU6XFelo0bzZ379433ByrVIq46NKjB7lyvd8NK34Y7Px1G4cPHX4z3ujYWOI0GmJjYgkPC1UsoJFR0YgdTOIfYa0RJXeu7DRt3pwqVaoqQsbZyRkTU1MpZBJZOVLQGPSxkpVJAumHgCEEzevRiBdzTHQ0ISEh/HX2NHv/2MvVy1d5+uy5EmcjPhivRYiRkQojlREqI5G27/9bvmvWqsFUf3/s7B3eC+nxo0cMHjSIa1euGlTQ5M2Xm23bf0vwYxcTE4O3pye7du4y6OTZ2dmxet2PFChQMEExNXHCBDb/vEmxiBmqCKE5cfIkmrdsmWCVZ06fxqVvH2Ji1IZqVhljjVq1mDVn9ntZxwe4BvNtp294/OipwdoVFX1a4RMWLl6iiOlXuQbeqV+IhJ5dv+PsuQuGE3BA/vx5mR4QQMlSpd87HuFCmj1zOmtWr33zd9EXwUL5X7EHJz43AsbGRmTPlo2ixYpQv0EDatWug6Ojk7KbSVhGZUmagBQ0STOSV0gCGZLAvr2/KzsjxAe7bfuvaNu+farHIV7EIlgxOiqaoBfPuHL1KvcfPCQsJISXwS8Ji4hAo45VRI5Iy/52+fTTT+jjMkBxVb2viLidObMCuHf3rgEFjYocObLhO21Ggh8F8dFZtmQxx48dNejHzsbWFg8vb/LkyZPgr+qVy5fx5/79CPeDoYoQFn3696dmrdoJVnntymX8/aaijjWsoCn/ySe4Dxn6XtZi7YSGhjBxnDfPn78w1HCVeoqXKM7QESOxtLR6L2shHnx9xnP1+g0DWmggZ46cDHB3p2Chwu8dj7C4bNqwjp3/EMvCeieOJhBixcnRUTmqQKyTEiVKkDd//ngrp5m53MWUwlUiBU0KgcnLJYGMQkCYs8NCQ5Vf/+KF6eAocjIYtogPhXhpC5GjidMQp4lDq9Eo/+j0uncEgrW1NXYOjglaSkQ9wUGBSnCkwVxOKjA1NSNnrtwJfhxEX8WHNiI8Qpx0ZTBA4kgJwVy44xIK3hQ5RaIiI964GQzRuGjLKVt2BO+EihC5gc+foVNcXYYZs3B1iSBx5+zZExyvEI8hL4OJjYkxxFDf1GFhaamcS2ZqavreesV6EuONFu0azK0ojg0xxcnJWXEvvq/Ex6LFP4dvikqluI6EFVPcL/psamKKmbk5xkZG77UwGRRWJq7sj9/3MHjQEOVZ95vmT8NGjRL8ISPz0GTihSCHlvkIKKJAuIJembU/1o6If4qPhMSIaD+pPrztujLUjKRZu2IASYz5Y4w3vtkkWAuXh8E+7G9/q7PYHL9yFyW2rhOb47fvS+rZMNTzkFnrEZx/372TYUNHKNYvv2nTaNCwgRQ0mXXC5bgkAUlAEpAEJIHMSEC4uHds3cQYz/GYmZsxbfp06tStKwVNZpxsOSZJQBKQBCQBSSCzEhCC5tL5M/y8fh3BIaH07OdC+U8qykzBmXXC5bgkAUlAEpAEJIHMSEC4nEQ8XEx0FFqdDnMLS8zNzRN0c8sYmsy4CuSYJAFJQBKQBCSBTELg7Ri+xOKSpKDJJBMuhyEJSAKSgCQgCWRlAlLQZOXZl2PPsAREJtyIiDAcHAy/bTvDQpEdlwQkgSxNQAqaLD39cvAZkcCOX7exY/tvxMbG4OMzgdz5CiS5dTojjlP2WRKQBCSBlBCQgiYltOS1kkAaExC+5PVrVuPnP11J3uUzaTyff9FMCpo0nhfZvCQgCaQ9ASlo0n4OZA8kgWQTEIJm7++7GTFshJJ5t3v3rgx8lUUz2ZXICyUBSUASyBAElBSiye6pFDTJRiUvlATSB4Gb16/S5bsuhIaFU7NmdebOn69sZ5RFEpAEJIHMQiAmKoqDB/bjnC0bhQoXVU5BF0dxJFakoMkssy/HkWUIiHNzfMaN5bedeylUqCBz5s2lWPESWWb8cqCSgCSQ+QncuX2LYUOGKoeeFiiQj0WLF2Fj5yAFTeafejnCrERA7HDasulnJk2cpJxE7Dl2DM1bts5KCORYJQFJIJMTOH70KO5ubkRERNLh61Z4ePlgYmomBU0mn3c5vCxI4NjRw0ocTUREBL169cDVbVAWpCCHLAlIApmRgF6vY/PGDYwbPxELCzPFOlOh0mcYGRlLQZMZJ1yOKWsTEObYQW7u3Lx5i7p1aymn0NomYY7N2sTk6CUBSSCjEBApKbw8xrB9+04KFMjP4qVLyZsvH0YyhiajTKHspySQfAIiqV7A9OmsXbsBBwd7Jk2aSL2GjZJ84JPfgrxSEpAEJIG0IXDuzCmGDx3Ok6fPaFC/LpP9/LG1tU0yPYUMCk6b+ZKtSgKpIqDT6Tj45z7c3QYr9XTo0J6RYzwxMTFJVb0Z4eaY6IgUbOTMCCOSfZQEMh4B4f4xNbMAVfK3VSdnlOrYWGYHzGT16jVKrq2xXp60aNUaY+Ok321S0CSHsLxGEkiHBIKCAunVvTslixele89eFC9VJgtYaPTEREVgam6Z5K+1dDhlskuSQKYhoNWoMTG1MPhzGPj8OaNGDufIkeOULFmS6TNnUKRo0WS1IwVNplleciBZjUBsbCwPHz7A0cEBBwdHjIwTD5jLLHxioyMws7BO1gsus4xZjkMSSG8ENHGxGJuYGfw5PLD/D7y9xhEYGES7dq0Z4+mFhWXy8mxJQZPeVonsjyQgCSRKQAoauUAkgbQn8DEEjUYTh+eYMWz/dYcSMzNrdgBVq9dI9mCloEk2KnmhJCAJpAcCUtCkh1mQfcjqBD6GoBGbHab7+fH7nr0UL14MvxkzyJ49R7JRS0GTbFTyQklAEkgPBKSgSQ+zIPuQ1Ql8DEGj1WgICQ3h+JHDygaHxl80xTgFrnQpaLL6qpTjlwQyGAEpaDLYhMnuZkoCH0PQCFBiB6dWq1EO3zUzM08ROyloUoRLXiwJpH8CeuWFoMXE1DT9d/YDeigFzQdAk7dIAgYm8LEETWq6KQVNaujJeyWB9ERAryc6Jorfd+1SdgU0+aKpwXcgpIfhSkGTHmZB9iGrE5CCJquvADl+SeAjEohTx7J2zQ+sWLGK7NmyM3NWAHnzF8h0okYKGhCxBmq1WjHLi8RmIgGZYpHT6wl68oBnIVGULFEcExNDbOXXo4mLQx0X7waILyplXZmbm6UoxuEjLv9Eq9ZpNMSqYwUe3oxAcDMzwzQLJKP8GNyloPkYVGWdkoAkoBCIiYnmhxXLmTt3gRJQ93WHdri5D8HaxiZTEcrqgiYuOpK9v/3Kb7t/52VEDMam5lSvXpXOXbtjrYpl9vhhHH9qxPyZU8nmYMuLJ4/QmFiRO4fzB60DXVwsBzavZs32A8RqdW/qsLRzZOCgQXxSqtgH1fvf3aTn5tE/mLVwJS81r+UMGJtb8k333nxZu0oWSEhpeNpS0BieqaxREpAEXhEQcTNXLl9kQH9XXgQGYWVlxbTp/tSt3yBTWWmytKDR6/jjp1XM/OEXmjRvTrnihQh6eJu/bz1l4PBhOJnrObBrK0F6B1p+2Rg0MUwfOxynCk3o8227D7LYRIW9ZMbYwdzRONGpTTOMjY2UFWdmYUmZMmVwdLBP58+gluNb1uI9cQGt+vSidPFCytEZRiYmFCpWkny5smOcxKGH6XyAadI9QwiaSxf/Ji42lk8qVjKIqJQxNGmyFGSjksDHIRAdHcX8WQGs/OFHJTC4RPGiLFuxAucU5HL4OD0zXK1ZV9Do0cRG4+HaA3Xh6ozo3x0nawtlV4hwBZlbWGCEnqioKFTGZliYGRP47C5De/amXmdXOrVvjoW5+RtBotXEodXFWyxElmmTBLbHhgQ+ZXivjpT8oiv9unR446JRqYwUgWSkAo1Wp4gCsTtFVCnO+XnH3aXXK+tR6atoz8hIOZvn9TFAcXFxqISo0OvR6fQYm5hgbKRCp9Mq9wlXkahTtKVXqZS/aTVa9KjeaUe44v7530DD0Z/X4OWziOGzZlC/RiVlzMJlJtoxUsW7z2RJGYHUChphUR49YjiXL1/hm44d6Nq9V6rdl1LQpGwO5dWSQLomID4Y4WFh+PtObG2cLwAAIABJREFUYcvWXzAzM6N+g7qM9fLGyTlbuu57cjuXZQWNXk9sVDhj3XvxyLIokzyHUyin0/+x6bRcP7aLEdNWMch3Jo5PTjPWdx737j8hW66cWFlb0XPgUFo0rM7uDWvZuXsvUSoTJT7G2MaJIWM8KFcw178+7k/vXqFz+0709fajfbNG8YJIiACE/tBx47eFzPvlL/LmyMad+w94GRGO1io7cwP8yeHkAHotp//czcqVPxKtMkGv0xKr1tKpz0CaN6yBOuQZrq6DcC5QgLiQQO6/jKWVy0hal7Bh6lR/7j8JUtaxztiCfDmdKFqrMR3qVWGh33gemuRh0pjBWJuboNOoGTd4IHmrN6X7N60wexM/FC9ovH0WM2ruLBrWrvyGmRQyyX3q/n1dagSNEN3jvTzZu3cfGo2WFi2aMWqMB7Z2dh/eISFS9f+P8kpVRfJmSUASSB8ExC/aWzduMGzoEG7fvqu4nga6DaDzd9+n+hdQehhhlhU0gFYdw46V85i2fCMV6n/BhDHDsbe1UUSIThPHrh/nMO/XC/y4agGq6FDWLZrOvF1XmTDanfy5slOocCEijq9h+KLfaf99L2pXr0TIw+t4+fiS60sX5rq0xEiYQV4XvY7bf53g6y59KF2pKvlyZVOsK9mzlaT/wM6YGWmZOdSNLUcu0KT113zdoRWh9y8y2W8+IwIWUat0IcLvnGXgaF8atv2ORnWqQGwk/j6eULAa0zwH8fLhDXr1HUBUnBG9+/enZKkS5MmbhwM/zubHQ/cYO2YwebLbceS3zQSs3IznpKnUr1KOpdN92HU7hpVzppLN1oqIoEv06jaKfmPGU7d6JcWKE1/iBc2YcQEU+Owz8uWOzzzrlLc4A/p+j4VZ5kxv8LGf1Q8XNHr27NqFp8dYIiMjcXZ2ZsGi+ZQsWTrVqSakoPnYsy7rlwTSgIA4uPLs6ZOMGe3Bs2fPKVSoIP5+UyhdvoJBfNVpMKQ3TWZlQYNeR0jgcw7t38HqlRuJs3Cku/sQWtWrSlxsJMumjOVEkBlLAiYhdvasnDKSg8FW+I4dRg4HW2KCHzO4T38sy9Zi5MCe2JiqOLl9JTPWH6Sfty+tq5V9Z30Ia8rJP36l37Bx2NnZY2pqgsrEgs49+tO53RcYqcMZOmAAgRpLvMd7UaRAHu5fPsXosZMZ4TuTT4vk5Ed/b36/Fc10vwmYGhlx+/xBJvnNo16H3rh2ac/dvw/jOsiTKk3aMtilB/Z2try8d4XRo8fSsPtQvmpUDXMTY279dZjhQ8YyatYiKpYuzKGVs/H96RjzVy6gSE471o3qx29PLZjsP5FCeXK+tUTjBc0IDz9wcsLC0lwZY/nqjZnoNQTL9wia2KgIMDHHXIqdBB/1DxE0woJ88/pVPD08uHz5GtbWVowb702DRo2xsEjeAZSJvXukoEnLN7NsWxL4SASE4VWtjmX9j2uYPXuessW3UKEC+E/3p2Spshk6ZiBLCxrh5tFpiYqM5Pr5UyybP5Ng8/wsXzgLfXQw40YMx7JkbbwG90arUTO2byfsK7fCvWdnrCzMuXrqT1wHj6Fi7SaUL52XezfuEqcy49OqNWhSvzZ2NlbvrA0Rk7Jr7VxWHX+Cl3tvHK0tEYEstrb2WFtbEvb8AQNdXCnXoA3ufbpiaW7CmQPb8Q1Yht/s+VhHPmLQwEGY5C3Hl42rcuPaHdR6I4oWL02zZk3I7uzEyW3z8Zi+nrEzF1C3UlmMjVWc2PMzfgs2MHvhAnLnyIaRXs+pPT8x2m8Z81esoGjenLw8t43uI+cycOo8SlmF0aPfMNr0HUqPr5opY/1/iRc0HuPmMWDKJKpVLBO/5dzCCicnByWG5u2i12s59+sGtAU/5bPyxbhw4jianKWoXORtkfSRHtwMVG1KBY14J138+zz+vn5c+PuiEhvVu08vuvXoqRxEaQj3nxQ0GWgBya5KAikl8DI4iFWrVrJ61WqqVauCx1gv8ubLn9Jq0tX1WV3QvJ4MdUwE+7ctZMbyA6z7aR1xwY8YNXwEdTu60LVtE9RRz+jauhNt3cfSrmk9zExNOLpnE6PHz2DE+KmKlUN8VMS2bwcHOywtLP71UdGo1azw7EZIiZYM+L49luZm76yFB1ePMWiIN9+6e9H289qodDHsXjuD5dsvM2veHF5cPc4AlxG0dBnLd23qEKeOw8jEFDs7O6wsLTBSaVnqPYwNZ0NZuTKAfNkdQR/D9tX+rN1xnflLFmBva402NpLFUzzY/ncgK5bMJYeTPXERd+n3bX9qdeyH9vZR1p9+zoLZUymeP5cSPPxPQeM9UcTQzKZhrc/eHadeT2jwUw7s2YdtgcJUrvApobcuo3LOg6kqmoUzZxBdsBZ92zSkYJ6c3L54hlOXrpOvQEmq16iESRbdIZUSQSPEzNXLF/H2GsfVq9eU4PBOnTrQu29fnLPlMJgrXAqadPWqlp2RBAxLQKfV8vz5M7Zt2UKLVq3JkTOnkoQtI5esKmgigp8RoTXG0cEBc1MTwl48ZP30kex7YMGChbMJunOJ0R7e9J80j/rlChH94C9adBnCqCkBNKhcRpn3o7s34TlpNh5+s2lco4KyDDTqGDA2w+TVduy310ZM2ENGde5OXffxtGxQDdN/JOr7e+tcRs3bitecZVQrVRB1WCDzRw7gL10uZs2YzP1zf9K/30jaD/FhcI82StXaODU6jDA1NUYXEcgwN3eCSzdl7oBvsLE0Q6+P5rd1M1m16SILly/G2lzFuQO/4jEugPwVajPLb3y8yNGq8ejTmSDT7IQ9foSLz0SqlS6Fhdm7out1DE1CgkYTp2ZdwDjiHIvz5PlTvvmuC09+W4W+bF3szWLw9w8g0io/Pbt0oojRS+Zu3En58qW5dfEirbsPoE7VTzPy4/TBfU+uoBFi5u7tW/iMG8eZc+cRO9pqVq/K1OnTcXB0MpiYEQORguaDp1PeKAlkDALi11BUZAQWllZKwr2MXrKkoNFrObBuISt3HqfUZ9UoWTAPZw7+ztlLd+nk4k6HZg25eORXJsxYx6zlSyiQzYGIe+dp1ak/9Vq0I3/uPLRq1YLwx1cY4DaCXJ9Up2WDmhjptQTev0rlFt/xabGC7y4NvY4XFw/Ssf9YvujwPcXzxedrUamMKV+rNgUdLVg1cTQ/nQtl0dJp5MvmxMuHNxnk4kb2Ou2YPKgbkU9v4OHuxlPzvHT9po2SpvfFwxsUrliP+jUqE/7kJoMGj6SFyzBa1a2BmRBVei1n//yVsT4BNOnwPSaRzzl18SrBD29Ttm5bvIa7Ki4lsaV75pgBrP/9FLW/bIf3yIFvAqTfHUi8y8lz/Fwaf9eZsiWLiDzHqIyNKVa6HIXz5mDRpKHkqNSchnVr4GRvx/6AsagqNKJmzU+YN3ECUZ+0Z0jTSqycPRld7nLUKF+c8Ht/cSbMgZG9O2X0R+qD+p9cQSPc3UsXzmfpshWo1XGUKlmcsd7elC3/icHfR1LQfNBUypskAUkgrQhkTUGj58nty6xZuYYnEbGKhcbUyo4vmzWldKmSONpYcOHAL+w49wR3l57KB18dGcaKeQHceBqGc8FS9Ov5LZYqDRcvXGTblk3EqkwxRU/uQqVp36ENuZ0d3plScchp4PVzTJq3SkmiJyw4wpOjMremr2t/8tiZsmbZUoJtC9P7q2bYWJkT+PAui5aupFzjVrSsVRGRZfjejctsXrOaEL0FevRYO+ak8/ffkj+nE8GP7rBi9Traf9uVooUKKvWLEhb0jO0bV3H62hNy5ctP+ZJ5WDZtHvW7D6PPd80xMzFR3BaLfUaw+fgNJvlOpULZ4v+yIMXXpufBuaMsXv4jUSaWynENSmI9M3MaNWtNjYpluHvxNNt27yM0KIQeg4dzc10ARhUa0aBhVeZPmkjMp+1xa1yW6d7DeaZyokhuZzQaNbnKVOO7Fg3T6lFI03ZTImgO/LmPST6TsLGxwWeiD2XKlcfcPGUnaSdnsFLQJIeSvEYSkATSDYEsKWheBQNHREQQExMbf36TmRlWllaYmpmi0utQx0QTGatRdgmJXTzC3RgZEU6sOg4Tcwtsra2VLdkadSyRUVHEabTKnArLndht8s/gWJHNTrhjQsMjFPHwuqiMjLGztcXUxAjRH4xMsLSywsRIhThPLDomFmMTM6ytLJRbRLK9yNBQ5dgEEfhpYmb+/77EqYmKicHCPF5oxOsPLaGBT4jWmSoWIWOVhiPb17Lo56OMD5hNhSK5Uem0nNm7iakL1tG+txutG9VSYnISKnGxMUSGhxP3/5MPFEaWVtaKOHz59AlqtBxfMg5tnd7YnP0Vk4pC0FRj4aQJPMtZB4/vG7Nipg8h9qXo9nVTTIwgLg7yvLOjKt08Jh+9I8kVNMLlFBUVydnTp5RcWCVLlTa4ZebN2pR5aD76vMsGJIF0TSAsNJQLF85TsWJFrG1s03VfReeyqqBJ9xNjqA7GRbF33Ry2nw8kl7MTcTEhXL12kxqft6dvt2+UINx7l8/g4+1NripfMsylBw7/2J2Vkq6InVy/b/gBnYMzFw8cp2XfvoSc2I1p8UpU/OxTju7Yyp/n79P269aYhD/jl90HKFupEqZGOnLmKsynn5ZJSXOZ5trkCprXAxaiWBHNHzErs7TQZJrlJQciCaScgHjJ7Nq+jQULl9CwYT36ubphaZn6fBAp70ny75CCJvmsMuSV2jiePLrPsUOHOHH+MgWKFKdy5c+U08Md7GzRaTWcP7yHA5cf0a5ta/KJbd2p2GkkLFmhIcHEqjUYm5rhYG9HXHSU8u9mlhbEREYSHhmpWLKszM2JCA8lKjZOCWa1tbNP1DKUIfkns9MpFTTJrDZVl0lBkyp88mZJIGMTePL4Ie4D3bl27bri065Zszrdunen/CefKufcpMciBU16nBXD9kkIbZFHSR2rxtjEVHFHCQEhXFZKjqXYWOK0OiwszBM8gyolPRLxQq+9UUIciSMdEIHDr9oTbYp/V/7/W9e+/m8paSuzXPu2oBHz8eD+PXLlzp2mVl4paDLL6pLjkAQ+gEBkRASnTh7Hd/IUHjx8pBwYWLBgAVq1aU2nTp2wES6oj2gi/oAuS5fTh0CT90gCBiagCBpjU8LDw9i4fh1/7N1Ho8aN6NazJyYmaZMaQgoaA0+yrE4SyEgExC/hmOhorl65zNIlSzh06IjyC1gEiX722WdK8qtqNWorAaiGyORpCDbSQmMIirIOSSB1BGKiIjn/1zl+/HEdZ06fITwigjx5cuM1zouateqkrvIPvFsKmg8EJ2+TBDITAY1GQ+CLZ6xe9QPbt28nMDBY2YlgZ2dLm9Yt+eqbjuQvUDBVsQqG4iUFjaFIynokgQ8nsGnjeubNW0BgYJCScdrKypLmzZrSvWdPChYu8uEVp+JOKWhSAU/eKglkJgLipSTOCDp98gTr167hyLFTirXG0tKC2rVr4j3BB0dHpzQfshQ0aT4FsgOSAJN8xrNh/UbFclujRjVatW5D9Ro1sHdwNGj235SgloImJbTktZJAJifwOuAyJOQlWzdvYsvWXwh8EcjnnzfC03scVlbWaUxAT2x0JKbmlunGBZbGQGTzksBHJBAfCP1u0SMsun5TJnPgwEEaNGhAl+7dcXbOphyvkZodZ6kdiBQ0qSUo75cEMiEBEVsTGxPDi+fP+HPf75T/tAKfVPgszX55/R+xnujIcCVLqyySgCTwcQmI4F4LK7t3RI1Itnjq2AEiIqMoUqw0ufPmw8LCIk2FzGsKUtB83PUga5cEMiwBYa0Rbqi4OLWya0HE1CQUGHzvzi1CQ0PJniMnjo6OmJl/vBec6JdyKJAskoAkkGoCyuP06nn69/P9bwuN2LYeEhKMuYUlZmZiO33C74VUdy6FFUhBk0Jg8nJJQBJ4l4Cw5swNmMbWbTuws7PD3t6Bz5vUo0Xrdlha2Sh5QoyMjSU2SUASSEcExOGeGo2W2NhoDuzdQ/0mX8anaUhGif9RITI6/NMdlYybP+IlUtB8RLiyakkgKxB4/vQJbgNcuXjpCkZGxoolR/xys7W1oWDBguTMmUM5wyVbNify5c1L3QYNMTV9dW7PPwAJi9CjRw+VU3mTKmampuTJmyfBnBdCaD179ozIyMikqlLM5WLLqYVFwlmSw8NCefb8RZJ1iVd8tmzZsHd497DHt2+Mjo7myePH6F59GBKr1NrKitx58iR4SWxsLA8fPEiWzcrK0pLceXKjUhm9tz7xoXr8+BHR0TFJjlPwF/0ScRMJlcDAF4SEhCZZl+BfIH9+TBKpS1QSERHO82fPE+Um0usrc2lplWC7wm1y7979JJkZGxuRK1cuLBOpK57ZY8ScJlacnZxwdEo8qF7U9eL5c8LDw5Psm72dHdlz5Ei0TbFm79+7S1RkFCFhYcrZXqEhIQS/DCEoMJDHj5/w6OEjNFoN3uO8qFs/Yx+0KQVNko+avEASkAQSIyDy2Fy5fJFDBw/w94UL/P33JcIjohQzthA3wiQtPlimpiZ8Ur4s/jNnKZac95UXL54xZuRobt26nSh0UV/58mXxHj8BB0fH914rPgrT/Pw4dPBQkhMo8u74+ftSqkz59/7qFJljd/76C9OmByRZl4mpCRPGe1G1Ru0E4wrOnTmNp4dnsoRDgwZ1GOXhlaBwuHr1KoPd3BHCJqlSt24tRowek2Bwd0xMNBMnTODY0ePKDrfESsUK5RntOZZs2d//UY2Li2P5kkVs2PBzovWIX/m1alRmxJix2Ni+f12ICoRAPXb0CFMmT1E+0AmVwoULMMXXlxy5EhCBej1BL57QuXNXRB8TK/ny5cF7vDdFi5VM8DK1Wo2XhwenTp1OkJlYrwPd+tO67deJtif6s2TRQrZs2Yr21eGh77tBMGvRsjmDhgxN0EoieF26cB5vb2+CgoLRanUKQ3HUg1anVf6/CO4V/4gfIN27d8F9yLCkllC6/rsUNOl6emTnJIGMQECvfEyjo6JRx8URGxPNpQvnOHLkGFeuXOH+g4dEREQpL94GDeoyeap/goLm9q0bDHYfxPXrNxMduJmZKV26fMsAt8GYW7z/lOVLF//G28ubSxcvJQlRWJMWLpxHxc+qonrPuUBxajU+47z4edPWJD/02bM5sfXXX5Ut7u+rSxyGuGzJQubPX0RsbOLBzYJZv7696Oc6EDNz83+NQ4iOQwf+xN19sBLEnZgIER9VNzcXuvbolaAlSlgZZvpPZe26jUr8VEJFHEPQu8f39HZ1S1AciTUxa8Z0VqxYlSh/cazB/AXzqFKteoKWO1GB+PDu2fUbXmPHJWp169jpa4YMG4FtIuIoIiyMJo0bERISlmjfypUrw4yZAeQvWDDB6wQzl759OHny9Dunkr99g3C7urkPoFff/om6aYSgWbRgHkuXLE9UoIp1Ua1aZXynTiVn7rzv7ZtwKV2/dhXX/q6KJSYhYWRrY03zZk3o2bsveQsUTvJZSc8XSEGTnmdH9k0SyIAEhDVDfMxEThth8r544S8uXr6GRqOjWrUq1KlXXzk36n3l/r07zJk1h4cPHyUuaMzNaN26BS1bt0vQcvH3hfMsW7qMZ0+fJUnR2taGUaOGK7/E3xcXEBsbw5xZAZw5cy7JeGRnZ0d8/f0TjEcQQdZr1/zA3t/3KTEMiRXRl+49utKgURPF2vXvoufs2bMEzAhQgrcT81OIs7n69ulJzTp1FavZ+4o4P+mn9evYuXNPooJGxER1+Ko1zVq1TVCECMvF+rU/svO3XUnOpYfnGIqXKJXox15YAjf9tJ5du/eiidMkWGez5k3p0LFTgmtM3BgVFcVgdzfCQsMT7VvefLlxdXWlcNHiCV4njg+ZMM5bOTpEr3u/VUsI21o1q9Onv0uiLrp4ZmvYu3cfcYm5XVXg5OSkWFUqV62unDv1zyKsMTevX2XxokWKtcfSykoJ5H17fYs1Ub5MSarXrIVTtuxpdmRBkg9oMi+QgiaZoORlkoAkkHICrw8ZVNwhejAzN8M8kR1QMTExim8/Jgn3ibA2ODjYKwHICeW9iI6OUkztyXHFCItD7ty5Xn0E//1xENaB0NCQZMWDmJqYJBpbIiwfIhYkOCg4WTE0Ih5HuOgSCsAUFoKnT58maB14PWvi/hzZs2Nja/PeD6C4TvRNxFiEhIYmau0RhJycHLGzt1fipt5XRF0hoq6QkEQXjpi/nDmyY2Ut+pVw0cTFERQcRGRkVKJ9c3BwQPwj5jShIiwhjx89VmJHEisiTsg5m3Oi+ZfEOEU8VKw6cWubjY21kqvl/cI0vhfieQkODiI8PCLJ+RRWHydnpwQtUcJaJ9ZGyMtgjFRGCFdo/IGz/1/fYk0IC5nYdp1QXFXKn/q0u0M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IEUCho9sZFhRGqMcbCzwUhloF5k1mr0WmKio4mO0WPnaItxKnhp1VGERMRh52CPqdF/A0yn1RAbG0W0xhRHO0sS6r5epyUsJBRja3tszI3/m86JVvQ6oqMiiIpWozI1x9bGBtPUQP7vep7hW9LFqYlTmWBu8t8sRq0mDr2RCSZp+NLR6zTK8xyrNsXe0SLB50FZmuLZUccSqzHG1tYCQ1LS63XEqdXEarTYWlsnuJbEc6lWxxITZ4SdbeL9zfAL8r8egF5HbFQ0JlbWqXqvJ6/bGtRqMDMzSd7lWfgq1f1jP+l9F+0gKhEIDp28mfl5IdBHs3lMZ0aeKcShLdPJZW3Ix9TAs6DT8OLhDc6eOMKB58UY61ofy4Sa0Eayzc+Xrdcf/uMKM3KVKELFzxrR4vPKWKWoiy/51XsGi/dv5q/bVTlwbQVFEn73JFnz7b3TqOVyiE1Ht1EzW5KXp/qCuJAHLF0yhy1rN3E8/yAe/jIQuwRqjQm6zrd1W5LPczszOxU36Ms7sYEc37mcB+ocRN0+zNT526ncaQDLx/VN049eqsFngAo0T08xb8kRGvfpy5UNLuw4l3ini3WbiEe9vKkaWfCd0yxasJ/mQ9z5JJdZqur6oJujHjJ/SgAbd20hKHokBy/2wTGBil7e3MGA0Yt4cP8+6kZ+HJj8OeYf1Oj7bopghWdP1h95gKZADXYtn/ZeER8bepdJY4dw6Mx9dDVH8rv/16QBNYONOr1VdGrLcg6EFKR9pUAmBOxKvHv5P2W2x0BsP/jHXjBr/Vdi06I/rUon+BVLb4jSpD/xFprwO7i2Lsv8/fU49XInlR3i+6LXxPDrrN4MVrlza0jlNOnghzZ69+wvbNt/lo2zJnP00xmE/jogwQ/y6zaenlpNjWbdyVl9Kn9sGYo1kfy9cym9XDy5V6AX+7f7UtoxJa8mPR7f1mbu7hKcu5cCQaON5kWkKdnt0l6RT+1kxaiwKYTucE+S34fOVcrv0xN2Zi7tXHax+o/t5LZR8fTANEZtNGbpnEEpEjSB5zZRrYYbo/84Ta9aud90RR8TRpjKDvuUTHfKB5Lh7oh+8jfu/VbTd4UfnznFdz/ixhrqlPieCz5H0XrW+D9DrZqjy13xut+BnT5NUv9BffoHrsN3MHaBP7ls/kNL4KsRaWNC6fhFJc4EjeRMIoIm/uUZS6dq+am3/Dn9yqVimuPu4F6vMere61jQveqrisJY37EEP+VZzE8zWiXyA0LNxJZOvPz2JNM7llHund+vFtOiXLnwQ2dsUtGtLHurTs2dbZNYcq06k0c1jZ9qbQzzOzRmwMGHbDtyjlYl/i911WG3GT1qHD19l1DGLhUvk7DrDG/ajVoBP9OmSp4siz+pgb9xOS1yq0a/OU7vCBrl5pjrjJt0k9E+zQz4KyOpbhnu77P6VWDQo17JEjTqZ39TpUZdLMt6xguaV3ri2LIB1Ow9n299NrLG46sUdE7Pir4tGLQpR4oEzZOjC5jwpD0L2udIQVsf59Ilg6rT50andCZootjYsT4+TxtxYM8UnFLx01Md/oyTx65QqEoN8r0RqxpOLlxFVMee1H8l7j8O3YxW6xOmdu9KQdcVdKz8tsXlFF+oqrL3H4JGGZ3mIesWX6G9iwEEDXDhZ1++WW7Hn7+4kPO/1vtxEXRrU5eD9/olKWj0j7ZQrtVGdp9aR77UGLJ10Vw5fQZ93vKUyWuvINUFXaJm6Zo0XXUO76ZFEl5EQQepV96VkQcO0Kx4vPp8cPU4d+IKUqskJyisAAAgAElEQVR8bv57SZjR1vu/+3vn8EKa+AdxcP0Y8li+dsLHsb1HW1r+evFfgkbUcOX4EazKV6agdSoEDRD79Czf913MuA0LKWOR8Vl+jBEkLWg+Rqv/YZ3zB1TF9V6XVAma4DM/4Fy5K5W6+nBmpWcKeq9nVb+WuP2cPdmCRhN8i1Ed2/G87+/8IAXN+1mrg/BuUJdt5p34c7cnDqYpmJKkLtXF8ejyEXqtOscm/8EpdDMmVXlG/ruWyyvcabVYzeE/FpHL6u2IqkQEjaGHHHGT3sVKU2jeOTzap8b08QEdS7ag0XF9fj26nG7J8eUjPqChxG95fOoHPmkwjS03L1AnV0LX6nn06xCqed/i6P4tFLCX8iXVE6ELZWSrz7Ef+Rtj6ji/VV3igibV7b6uQK9htWtLFln2Y7dfa6zllP4LbaKCRnf/F+5YtaLoq5gNdehT9m/dwG/nLuE5eTHZXweVxIVz8Md5TFuznUc2xfEe40WrqoWVxp6dWsX3fWcRCLTzXIFnu08JOTSVhu4blL93mLiOUc1K8vT6GX7b8ANP8tVnYDVT3IfOx6HlUCb1a4SVEYRc3MWEqQs4eCmCRl1cGe/eFgtV0lG2hhA0FzePoXz7qXT22sKP41u9AzEu/AWr509i7YbjWJVvwMixI6lV7PXP+vcLmtA7J/Cb7MfOM08oWbMJg4cOp2phG+4f/5nu3w/k0M2n2BYuT0EHEzoE/MGoanpO7tnOoh/O03/J9DcuQeUX1+nfmOw/ixOPNNRv7cLw/q3IbRP/hQ97fJnNP63g/LVGTJ7fiCOLffBaeozWIyYxvH3VN0HdkfdPMXGUNyd1hRgxZgwmUXE0qh4/f/+30Lhwf910RizeSYm2Yxjv8gX2yi9kDc8uH2HDihVcqDuWpS2Loo4I4uThbWz8/SZDfcYTcfQHRo6Yh+Pn3Zjo7UbBpNzAwefwHTeFjYdvUqbJd4weOYSyr9wb9/YOp+3w3Ty5cYNQlSPFi+Uib8VGrJs/FXuLf/8U1sVFsWX+aKb+dIkeXnNpWVKDhV0xnB3NiHx2myMHD7D1mDUTZnTESXufsV9348ejp3mhsaNkxc+Ys3wNtfLbKiyig26wfO5MNm37C/uabZg2eQRFEwoserVKbh79iZmzZnH2mS1tRsxhZLNioA7n7zNH+f2PnTToNpmK+Sx4dm4bo3yWU6TLVMa2iXcPvC4vbp9goZ8/u04GUvZrN/yGtcPeSMPdS8f5Y9dRCrbtRpMithxZPZk1NwoxY3xPLLUv+fOnpSxdv5MrT8Np4eLP+B71lSp1ceH8ffIQm3cdpmnfEVTPF79er/+xlJG77Vnu9/W/4kN0EU/p/EUtHrRZzYHhNXnXOPJ+QaMJD+dmRCSlcif41f2Ad72WYxMr0uXMl9zY4pfw/ZGPWDnDl4W/HsM2dyV6jPahU/WcyvWhT2+wb9taDmkqMKPfFxxYN4tJ83ZR1WUK476v/s7Yop9cJsDXk1//VtF1lA+HZ33HkaQsNNrHjMuVjzD/E4wudYV+4xdjXvIbpo7vT/74h4aQeycZOXQiNYYvolu1V67O57to23sv87dNQ/wXTWQw504e5I+T52jffSTFc8S/cA/Mc+XLrSV5tMcNp7dfgTFB/LLYn4CNp2jk4kPezUOYb+PC/hVdsFRHcu38MfbuPkf5/oOon82U2LCHHNm9mz+PWDE4oBOO2ij2/eDLjHVXGL1iGbXyvlrc+jhuHNrE3GVrOfT3Q8o160/A+N44JeODqg5/yNa5ASzbtQ/jAo3xmzqOcrktCH92mz/37+GCSUU8vhZuykh2zPFiwvZQZq9cSLXcb60wXQTHt65g1ryN3NcXwWuOP1+UzUFcyCNOHNzPxoMqPKZ9S87ou3gNmcKnwxfRvgjEPDnH/LkL2L7zNMaFazJi8mSalBRj0hH57A67d21j/d8FWDrtq3h3uuY5Swb0wb7PHDpUyv+vtRV5dCp5eu/jr1PbKWz19q+ohAXNs9/3om7SmH/X9gFLH7j9mzflum5g58lT1Csc/16S5f8EEhY0mgiOT/8G4647qKK8j8L4fbYf42cs5km2chz6cx95FCdsKAv7d2ZLHlfWj2iG6eN9tGzSnqMRRWnZqApuUxdQ0+YIbR1rk2fxERb1rqm0HnhhC8VrfkPnhSeY107F7LEz8JuxmuwtOtLIEZ7qjMlbtwfevRpyaVcAPz8tzajOX2ATc+l/7Z11WNVJ38Y/dqyt2N2JgoA0CEpjAQIKipigoqgYICoItiAKLKiIWJjYAgrSIbbYiJ2YhHS81zkHFZV112f3ed69ds9cl394mF/MPfObuef+xjDbyIgzjcZxdvsC2tb/8Vf1ZwhNreIs0i9FMn+OE+m15Ni191cGtPqyGuc8icJ1UwRmMx0Z0KKYME9bbPzvERAewZBugsH2LaEp4815P4Zb+eJ2JB7V1vl4mCix7o0sV2N20rKO4CN+yfBerWjo9qpcoSkiZd8etgS5sjW0LVGvY1AXEMziHBL9ZhPwuD8bls+gdt4TApea4nOhK/4HtiLf6Cm+bt6s3OxHsx5uOFh+4FjsAwqeXuDktTJ2p6Zi0q4mpUUvmTnDnSluHvRvUsqFwx54pnVn9yIjYT8JCc1dA45a1mV/6CVyXqZxNOIiS/ZcxMWsP9n3Yljt58cW3730/PU6MeP7cP7wKvw2bWPbQwkOrDXlbEgSWaWFxEWE8q6dGcmnf6VPs8rl13uRAUxwTWXjHjek2tTi9CZ7LBxiWR16hAmDy+X1n1Bobm43Y3qMFMe3OpB5MQAbh+P4HD9Mo6xr+AXvYY/nOmrOv8i52dKixf7NOQa30UHvyDkW6HYX/lZW9JGE3esIvPCRSQ5OyDZ5xcy2UhQtOc3WuUqVzie5GTdYv3IDWe30cJoxnNcx6xho6M/J+2k0jZnLil1RHEnsxeUn2/kY6cn6/Vd4nXae8BpmvExwR7D0FudkcNh7OdHvOzLPaQ6t3kQh09OQqWduMLLqaZau2c6+a9nEJEZTPfUIrkucyJZaRoj7YBZbjud8z0nsXTaetnVzcR2txYqwp2gZDqa7bGdeJcdzJiSJkQGJ+FlLCdtwfpcrRtNc2HmrBLVvZuD36WGoy+syJuQ9C1S+tcNVRmhKeX7hLBcLOmCo1O0vnXNzo5xoNiqO009jUa7E0T7/dSrWQzRo5xTDCpPexHnPRGv2TjbG3WbqoGaEbJmDk80mGlgvwUWxPiHRl3n98i5nom/jcPQWS/TaCv1SPt4PZ+ryUKa7rEChTRWS97ozxdmfnLruPzQ55aeH06qrLlNXrOHxpYtQlknS2UhaTwwkZq0Z767HEXomEceVKxhoc4AQFx0hico4OA6Vvc25c3Cd4H8cmLuBwJM7uFVLm4SkAFoL+UwpnpNlSRgUxMFJnxSqMl6nRrDaOxylKbMxHNCE8HUTcHAPRS7gMoEmXUg64kHQxs3setudtJTDtC5+ylrXAPYd9qXKlFASprZim5sr8Q/fcCnqOPJu8WybMghKMwmYb4FbYif2BrswqEMjTq00w2DJEVR1hiGlORP32arfK5ml+dwO38yakEcY2zuj07UMv3ESxPYIZsc8ZYL8XfFeuxcD7zicNKrh6erO1cfvOH7qDGN9k9gyUUYYRfYhLRr31UG005/BJMOBpAZMZfjxttzeMxGfjd6E79jMxwmHiJ7UiqOblrI8OI3VkSm0TljJRIe92AQewHZod15d2ckQqckUK2mjPLAdhTl5PLkQTfS1UiIf3Wdw+2qQex8HNU1eDXNlh7Pl12O27CMHrfrg9EKFSyd38EuNikyyckJTkv+WzdY70NpjT5e/6AsovHOE5n2tmBUci4ux5F9013/Obb4hNFdp1qKJKCy4rIS87ExO38svJzRASRbeOhp4vm/whdDc2krzfn4EvYpHt6nAsFfGwZlGTNj/lKSbKfQVKnO3mVKlF1UqEJq8+5G0HaCHmW8yPhZSUPqQBdU6cWnWJk6sn06tT+G3WcnMNHRj4YmjtCknL0nrZqLs4Muy0/dwHipSEn6r/CeE5tbzUpo2+QVKi8ltpk/wLkdUenaifu0Ku4aSbPxHaZEz/wxzlOqJQjhLzmNYfRBnbQ7x1ncktb8jNPkcMtFmzt0S4uPjEWz8Xx2zoeWY80Q9jkW9iWDG+pbQiFqWutMOhXFXOVFOaF5e2stAdXcCr11Bq6OI1JXkvsVYrSdX6rlwPtKWprkvGKKuxPOaFoSdcqR9w9qUFsSjVUeFxjsectCyA4UPdjHA7Cxx57Yh6KqygnfsinyKpZ7oYxESmrOSXIjwRLr5L5S+u4xh04FUnbOZE+snCetkP09EU0GJOq4iQiMoGcen08I6kX0xYYzs0ZwaVUuJ2zIR1WkHcNwai7v1wEq6LI0J/UahsjcW6z7ljnUlWfiNboj9o8mkX9iM0B3uJwjNkXnVcP+4kfO/ThdoLIR6+aM4fXa5unQHk04jGBV1GfOOIqP0i7OudDb+lZMX0tHoLNoR3z2xAiO/bI4eXE5nwRh4fx2tDnL02XwOT7N+lbTjNavMdXk/bAvuZlJUrwI3j7siN+oqie8OIVkfTjiYMi53HEkj7hPwTp3lo/oQv9GMIVFSZJ5YJNwxhq0aj8szbU57mFG/RlXy7xyjaf8xbEu8j6m0BDeDxzBsdQ+CHHtRR2sEfarnkF+1JonOA7GKl+ROzH4aCVWrUk7MNMXiwEUSb9ynt6CjS9+xVLcpiSrHObPYQNiG0uJcwhbOobOrHz2/Cel7GO6OrM5aPG59wLLnt00WEZrT9ZvSqt4nh6YyinJrsWDHGeYN+2sJDU/20KP9eMxjclim+j0xfhDpjbLWTLxvlzGyG3y8cxIJyeGMWxWNn72yYJlkw9DGbKo9h/jdbrSoX4e8ZxcZpKxJS6XtnNw9glq5D7DpLs0vPkmsGy5qcEneW0yH9ufShyU/JDTXDy2mn8kW9iVfZpRMK6pTTMz6Uaiva8K9VwE0ycijJDMFOWVdFD0vsXNMX6qQzc7hEoT3Pcgud1F/UJiJo4E6YUobOLdUDZEmcAPz9uYYJ8Rj1E6koGTeOoGy6hzcIhIY3l9C+Nv9EytQMDzKzhfJaLUUzE5FxLr0Yv51K2L3LaZmVcEUX4TlkEHIr4+j3qlAuo4bj0K719j1lKSqUyKbxkny9rQDbS2iCLkeg25zEXt8FDaPjsbbCEq8wzhJ0fO+LY+StqAw9gT74w6g3EYwJl6ySrYDD83D8JszGHKvYN7dlDGR0RSe3kCvUY50Kb1Dh/6DGeWXgu/oPhQ/T8RQyhDTgxexUukofETsBhOsr2twd6sNVSnEebgkHVyj6f0iFRktTfKys6lbJ5NRA7qSZx1P+Fy58rDqW1hU6UPD7RfwGS/avKRHrKKf3iICz7/HtL+IpOe8ukfkjQyGa4g23p/Lx0dY95EjVcqCuAPrqbgUCLAV+tAEhdG4aTNql6cyKCst4sMbS64Xe/xlhIZ3KWg1laeu826OuJpXiv2/+cffVmiKskneaEa1sZ8UGgFMuezV08Qpo84XQpPqTwNJf3a/TMSwhYjQRMwby7CtEURcf4ZiW8Fn+AcIDY9YXKUjNxZt4fAK0UIpKK/CF9N7YjCmRiP5SuUDFIdPZ5TKX09oRE7Bszi4ZBgTV8WzdH8CzsZfL1xFHx6jrS5HbSkL0QJRsdTTZMkyXRpUotBkXDlB0NUGzLBQI//ZTU742zFuxXtOZcShK7ThVU5o0o4vR3FYBAfKCc3RFRYYOzXiZqE33T6pn6VF+FvpMjfsLmcu3EGh6QeGqKuQ3WQ5Z8PNEU1Hr7GSbs6HWfc5Mr4TJYV30e8pzaPOo5hhPQ6jEYNpWfeL6vW9U/AzXKu0JdluPae85gjvmPv6Bloqfam26AuheX1iBs3tbnDrWjg9Py1yb8+j0mwQdeZu5vS6L338Cbqc6GVImJ8m6lYk8o2+KGEZ4Y500Qlg7ZUnTOtf86cIzdMYD5SGeTNsdSCrJ6tRoWlkJ69mgE0yickHaSEMqSzl5DIzxu1sw5WbnrSrBSWvzzFiyGgMfeKZotyOwvfp/LrCkePZmuzwnELrb81nZUWkeNtgtCWP+LggOtQv5f75UJycfVBbso1pym2FzbU16E/Z6PX0rl6KzRgtqvMaF+W2XB95kgNzh5BzcwfqZv74nIlgUIs6fHxyEZcFTjwdsBD/uerUL8th5QhNTvWfzpLRmgzt/8lJ9y2+A3qzrctokg5sEm5OyorfY6c9iJh60zm7fxafxLFtM9syMW8ZJVsnCRWJnEcX8TpXl0Wje30XOXN+y3jkptzjTEYCQ75bwypTaEq4H3mQS9WkMVb/iwlNXhRKdTXodOAlu4xFZqSKJe/tA7x2pWA5zRSJvOfEH/VHd5IbFk5RBCxTFarN3oYN2dHBhxRvW9GlWQ+RHaRMg34bObV/FG+SttBdfSrB1/IY1qOcNP1BH5ots/TZVGchKatU+OS7eWfvTHp61+J1/DoEAmvqERfUTfay+95VdDrUpOBZAoPaq2Aaeo9FWiIlMu/tDXSVDBi1+wZ2A0UMMydhBX1nxBMTe5QO9QUffi5OBho8Gh3E9nE9ys1lReybK8u020Y8PumMUCvOeYB1T1mK5x8nyE5B2L/F76JRVPVk8SoNqjYxxECxM/k3guiqshLPuFhM+jTnmv8g+vu35E3iIZoKV/EyAu21mRlWk4SYQ/RvXonSWvICu8HaMPcoG4d3goJ37F65iDUX6nMwyJ1uTWvxOtqNvpPDcJ42khaalhgPaM6DSA+k9T3YfvUuI3rUxc9+KGueWXI5eBwNygpIObSKRd6XcdwWyJBuAhn/JErq7tg62iCrP4buTUXzVlFeHGpNVRkWWcxCBdF3/SxsBYPMAlkVHo9FuYnvfeoe2slaMvvkfdw0Owjr3Tm+kVzJiUh1+NqcU5KRSncpVTqoryBsp42QEH4plSs0xTnPWGkUzJjweX8doSm6w7SaPbls58c5r6nfjf1/+w8/9qF5spe0Gmb0+GwCr4TQ8IRxfdvDoofsGCsYFGXsnz6CabfUuX3GnubCMfafE5obQWoY+NQhMfIkrX7HvFRZZ/4nCs3nKKfcu4xt3Z9jXXRJvRqCaI8gKrmvrzNEuR+mgdnMUvytAMjKfWjy39/BdbwFF9qbsVTuLsrjL/w0ofGeLstM337cyN1G78+Laglh00ejuyeJfQmpjO5Q+LuERtCWFxcOYqxnQuKbKjSQkCYw/DijBojs+n8poeERTlU6EjbFg4v+9t9111W/Pgxw+oWItGg0hWqVqHy8uZV+fSajeywDH0OJnyI0lBYQ4mSA2ZZ0dsUkMrrPp8Gcz9Hp3Vnzxpbo4IUiVbK0GJsRMhyT8+HxYiWqUcJ5H11G+udy9uRBnkT4MsPtEBPX7sR+pHSlCbVKcl5iqKnAO6MdHDGphZ/bEg6860vQJhdk2n6yjzxAr1N/7jYxJyzan66CufPBMXr2m4lDbAITpRsQZCyNd6EpxwKnEunrwoRdL9kT5I2xfCehGlic/ZLhg/vTXHUl61Zb07SCST/j+Ay6TUkhKOEsI1pms91hFK43BhAd9SvtKyjlBxerYnJOm/dnnBDsT6PC96OgYUztSjI3RnsYMHju+58gNJD/7h1X379nUJe/SnD/NCKSGVxFgTa/QWhEtbI5tmouC6NLWD5JGYuxkxmz6OwfJjQ3/BegOG0Nh9OK0O1arsz+IUJTwBR1SdR33WGMiLsKS6SbAovfTyVpvZXw/wEzBzDp6QQ+Hp4lNNecC5yF4sSNnH1U9tnc9zJhAzIWl4l8EEQP4VUFhDpI45pmQcTBRaIozGtetLZK4ualvcI+FJZHJxnQyYDe60+zx36o8Ke3N47SV9mIDbFZmPYTfVuZp+xpZL6N0S6R7JktU2G855MQG0WHRtXgRRhyvaxQ25rAylFtuLZ3HoaOV9geG8fQioOpwtecHbWchrbxXI/eTU7ybqxt1zBk6Q48J2sicnssItLFAN1Vj1iy7wiLh4kUsBPLzRm1rzsPrrvQhisMbamPYXga+gVncXV2IKOHHTs8piEhkDyBZyFTkJudgmdELKO7f3FmKyspwF5fkj01JnFl3xzqPAhFXd8SubmheM+U/xytm5sWRgtJQyZvv4iHqSTFj86w9Hx33I0F69jXJf/ZeXrJaNJJY/UfJjSCO9zcHkgtqwl/HaHhAfOqdCZOTGi+6yPBDz8Z5VQZoYEn8TsY7hjBEJX2VKlVk9zc6oyfvQCZlp92+v85oXl8bBKdJ6dwMiEG7a4VU1kV8+RJBu3a/Tgm/08RmuqQdecgQzQs+CizhrP77BCKUIKp5V06WmrSoLOL8DWG1P68UJTyIOkKEgrS1PtWoalbyIVtbtj7X2O2rzdGMm15c9IOCYOEnyY0+5aMZOzy8xxPf4Bu50+rmYjQmIY8JeZqAgN+ef2HCI2gPSUF74k/uYeNa1Zz+mUXTp2PQkXiv0FouvFiZQjbFpbL6hWGZcaxabQYHorPpWvYSolCVAVFRGhWsvZROkbtf87kJJq505lvNITgRtO5eXCeaMeaeReDXgo0cw5lu42ckCSUFN1Dr5cCBgeeMlNKIM9k4ak9mNX3muO8zJoBkpL079NVlA25FCpLAJL94hya8vI0NlzJJD1Z+vXpR7f2ElSr4MCel7KStto7WJN0jok9BRNxCVe3TmLo2nTiEiLpUfMpQ6UVedpsOI6zh9FzQG+kundEqGSXP/dD+nFUpOYwM/4yUyS/J9SXj3rguD0dpcH9kOwji7K8JE1++TocLMbXGk23JqQ/X0vtpJ1cq6bJELk2lWbAvXt4EVKjdrIr/Skjv4sU/nGUU3HOB9JyoFfL72PgP946SmKmDEPlW/Pk1gOa9OpcriRWOl+JfswMRbqRHkonP7BJ78s4+XTF6xuhTByznP7z1uE8RoHi9DCa9TPE/CcIzb39S5AxX47jsTSc9buKbv1HCM3LENSND3I0fg+f3+zDVcwVdND2T8ZKtQMU3GF8F1nqrU3Ex7wvvLyMj8dqZoZK8+zyfET+sCWELemP4/sZXNo0Tfj4suxHmMkoUjx5P/vnCQh3IWfsW+H8ZhrJO92FdUry37HDdzk71x7AdF8CUwXPE/hH7ZyPhksuV65700U4h2Wz07gVSz9MIjF0Ay1rCMzNb5k1VI3krs5EbzUVBmMIyourp7BdFEAvRTX6SPZGRUme9k1/axNXROTi3pjsrcdSp3n069WX/v370FToHygqZfnvsNVRIbzWUOIPr6N1XcHfMpk/tCcPzSPYb90Hrm2kUX9vxvsuQrt7L3r170PHpvVFhKhM8C+LgBEyeBUYEX/cnQZfSyYUv7/HpsX2pNUdSM++fVFUUEGm+zdqXsZFWndSwnB5FH6zpTl9LAqFETqV59vKSkezrzz5clM5u8+Nr3Pk/X6U04crUTwoLcZjtjbt56TiPkJkmhcEVaTu9MHWfwtuuxNR61BOzD6+xG3ZbC48acWhYM8vm6e865jX7UeGwzYi10z4wUfy7/zTTxKaj+zWHYJzRh3iY8qdgssK8fJcwxjbhUh8bVisgOhDbFp14qntUQ4vHka10iLSYgOQ0Z+Jhf85fC0FNs1HOFbpyK1vTE68OINKZ11uqjlyIWQxHevWpEpZCbkP9xH9VAU9lR/7j/9ZQiNoRIyXLUPtN2PtG4H3VHWhTwSFH1g5fAhLL2YRdDoCE8n2wgWnKPMOzr++wm2hKtUpY9tUfewPtRCGbbcvfY6+hhxvFXyJ3zhMKEe/PmFHc8N4TryKR6dJTapVfyN0Cq7j/IRgsxZ8zId6dWtw5+gyFEdEcajc5PQg1hs5bTt010QTNFNVtAiVFrHZypD19adx2WcEdXNeoKmuTE5TgclpTPlCkYGVVAvezUrnmFVniouTuHShI3LyIkUm80kCgxUHYxacwXzlRmy2k2FquiUfTs4qn6BFJqcku/WEfjI5ZaQyVFmS6k7fmJxsU0m5fhrZ8oRSJS8TUO08gqnRVxknVwkRLbyEcXt5YoYF8thvLHXKJ9S34QsY+GsV7h5ZJUrOVviWJeqCsG1jok+70LiSsO2i3NucOZuLnoHIXv4kZiNKWtc4U7BVuNt9nXqIfiqW+CS8Rq9zLerUqU7BtU10GRZNxIODdC4uoWaVXDwMNNiU0ZfIyK10blwdQfr7d+nJ2NlcwyPCVui8W7HkvEhEQ16FHs7n2TZBihrVoLggl3Mhm7jScRrTFRoQu7A6C1+5kRjoKLq0KAs3Aw32/WJH9N6xNM1/iPZAJT5KLuZksC0Na1alrKSQ++dCmHOkMQfWaJO23YqBx7uQdcj5u4R1pR8SmDjDh00Bu6hX67eToKTuc0LV7CERTxZx9mI1HIb3+s1Z8NWVIJRkrLCNzmKO8rfRFT8iNGXcSTnCxyYqSHf97RTXZcUfmbQ8kFUuM6jcK+PLq5Xd3UqHXmtYdf8uY77fTLPPWQOzcGVeprgK+yf3bqiI0CyMZLOjPFVq5bNJpxG7u3qT4i3wrRIM/IfIyitTv68XoQeM+HjjKD3kjGimNp2UkPXUq12dwg/PMNVX5FrmQi6k2nwdYSRaqkkPMGBqkj4RW8tNWWXFnPUaw6xr+iRsHU+DqpB3zot6RjuJPXcW+aa5BJ/MIDNqHju7ryXOpg81alSH0jRmtpCl0YYYXEx6QI3aZN6LQFZ5OMvCn9M99xlyik1Z17g9+/XmkrRrBVWK84ndvZjcmq0wd9zB2Zg4BrRvQLUqZfjaDmRry1WkOGpQtXp1qry7ir6EDFLBF3Af3V/49h9fpqKpLI/+lscsUmtM9apVoTSHOZMmM3J9ACqN/0iu9ALOOklhHNqJq2cO0LZpXeF8/fHVLTznz8PIM4yOZbfRVhzAsO1vmacoUi3Lnh1FqudyVqVHoNmkITVurKex1C580hMw7VhXuPb1mJ0AABE3SURBVKAXfHzLie1etBw6G/kmr5GSU0FqdTzbTXp8TcLLSji63JhdbdzYZ93nt4/o+ZiGRUtJmH4QT50b3Gtrg4JQLq2klL5hveQAAlprcuHkdur+AafgT3cpyXvI0gXnWbjRhFS3apzoe60CoRHU+sByK2VUXSoQGsHPLw5jYx+Ld0VC8yoeuVZayG4Kw2e6wHwqLhUREBGawtc4GvVm5YlmHLqZzKhe3+96BBcVZz9nnIYSpzIliIqJRqpVXUjfSW9FZyS1VKld7cvkWa1Ga8zspjO0n8C2X0zIQmVG+79BV1eZBjVbYmzQC2vrKbSTN2HsXHdmdL+NRmcd8sa4cWm3U4XQyVKSgx3Rn7SORr3UUezThipFxdTrrsvSBRa0+FEIcHE+rhbdWZowkrt3POhW0YGiknHw5loIClrmVO85lZhQT5rXESlMZbkv2DBWhQXRhYyydcZttgVdJWqT/TASq+EmhL1uxRBVGRrXrkrVmhJMc3FHrlVNKPuItfYA9qb8wplriSg2z2feKFX2v5QkIjKQ1vkP2O25CJu1UagambPIyQkdqaaMVWzFgdcDMFGRRHuyM5YKDdi/SBuzVbfxSb6JzaAmUPCeg24Tcd73Dtd9IRhLNeTt+QPYbUhlqbcrPRtXI+txHGqq2uS2nEz8WQ8k6lYj78lJtPoZcM94F7d+HUu94hgm6O3AevNa1Lo24UlCENZrr7It2IMOPGDGkJ74PBpOysVdyLasSdGrC2i0lOWp/iyuHtsgnKBfpmxGUX0qja0OErfJSOinIvShMdrH8EU+bF5gRPPqBfgtmEFYHUN2LBtJg9/IHXM5ZBUGY32x8A1m1QQlMu/HYTt5BSNXbcVEVuQnkvvqKqPUtLlSrSsR0RH0lfg+y1TeNV+MFz/Aa+dKutYr5MiaqQSXmbLb0UA4ti7sXICG1SuCz0/nl9odUe8twUWPTow+Z86FVTqkF/RApqcEj0PdUDRcRSNFDaQ7N6Ps41t+6aGH/dzJ9Gj8fWa30oL3rLBSZ8XJt2hoqdGsbhXe5VZB23QKU0YpU6PgHuPb90DC8xLrLAcI21OY+Qg9tX40nhLCHLU+KPRuQuLacegsO4OkxhC6NqtNYeZHOqmbYG9jRrOaOfibdOeq2h58Z4hCsSuWnCR3uml50XfoUGQVNRluqMvA7q1ERLxCuRe6DmW9PUza7MIsS90fbEig8N1dtFQVaGQfQ8jEvhXEqVLynh5GrZ0xFy2DyQwyo175cwROkbfPBrJwQwqb9vjTquQxTi6radXdiB6y0ujJNuXesQlcaWNPmcdS7BJvoGU4jCXLVtKi6Bbubh7kNu7NkoVzaVrh232wYzjSPg25f25HpccPxG2Zhu7sGPwS4hjbtxZhW9wZbreOtr20mbnYjYlqeYzuqMRFZTuuHfeiVW3IehCLvIo+NXrYEntqJQ2r55G0YSojFh+g0UBt5Do3on4nadIitnDuzi/YLnPFeYbON2pSCZf8zNmYpovvmgnUys/g+JYVRORIsnCONW3Lo5Qu++mj5ZtP1EEvMh7nIK3WmwWaA+iyNh7VKlnIy/Um7/puWivPY3XwdtrXkUBVSZrH4WtQHZXE/juetKnTkm4tq3N94xBklqajq6tB/XqNUDO3ofedpZh6VsN3szNqKr2oX/U+k9rI0mbzWXRqfWSAhgJZ57xpo7aciHvPUG8v+hifJfmgqHaStbGLkO0pQyeBH1vOebS7D+Zl7yGoyyihO9IAZalefPb9rmQezU3bh6qyJe/bqiPfpzU1SrKpKiHFNHt75Dr8wqsUX+QmpxJ7+Vc6lC8Z6cGGDPIoJHixHd1UtOjY8C3WijIceCaBlmpf6lUvpbRqE/Qmz8JYoSvvbx5mkNo6tt+MQ63F16Rd4Oy82HgQvqk10NJSQ0tDDwNtBVrU/8bfp/gZixt354SsNcuWz0FfqVO543WljIaHuyzo45HDvYQQWlVUnEpzCDAzYHJ4GoGRKVhVSDopWDP9XRfzTNOVFTptSRIQmlb7eRZ3HKT02T7L5DtCk31tDzM9LmA5VZqDXhe/IjRvknxppe3KzqjLmA38ktlcTGtECFS5c3JD2YSFAWRXRETThWTPkd+E4j1mpaQBwZ/rybI9NgDpRoVsm2OO15k0yipOmGWlZNbuyaHIg8g0EAgaT1nnMJ7Qx51x/XU9CjVvYTp/B0ZWVphq1mSqlCWXyu9dt1kbtgQfpV+LTxETxTxNPoTbqs0k36+GqeNiFpqqlttjK+/K13dCsbBewIsKDbPZdh4bmUqc2Iqz8Js8Ad+LaV/dbNjSPSw3EkQgCNwrrmOtNYZLgoQ6gIVPLPNVGpH/IZ2tK5cTHHqLNkPNcFlgQ6/mteFjOvYKI4n8fEdN9l/zpMurCyyeu4DEd62ZMm8R5n0zmTxhCV1n+OKkK3KevBMVxOy5m9Bavg17na4EzpyIZ/yN8jt1YGXIDvTLzW93onaywmMdd7LbYGA5G5uxWgiDzR5FImlY0U/FjM1BXXGY6kZmvuhWciOn4b9EmYc3f+FGpD/r9ybQSWscK+dOoFnxI8wtJ3D3aZaocttBnAiZjpvcOJLL36R+45GsW1jC1AXHPrdSxtabbdNURYTG7gYp+2eyxW0jyVmNsJnngo2eaDf4o5LzIBZ3tzWcPP8YJRM7nO0nlacIgIdn5jJs7pmvLpfSXID/+rFUTEOTERFIXr/BnPFazpaYR2iNc2CetTYNy4nUzdANTPROZcma1ej0aSbs45fhzliuTmPKxq2Y9P0iqd8648uiZYF8aD2Q6faLMFGsRBao+EZ5T/FzXkjA2UdI61uwyMGKjuUqVd7DGOSHzWT1gQR0eoh2g4VZT7CdYU9/05XY6nf7nME1KmAx831O0GLgMByc5qLWsXyjkXUdG01b1PyCMRv49RlJ2S/ucmL3AQq79uDR4UD2nrtL1ru3NB1kwZ6gNfRp8oX8PbkQiOGMWAJPBSJVnufnN/ulLI/DMwxZckWL2Jj5fOJyXrMkCYj6cX/2ttjEjvlq3I8PpbCDIrXPb2Xlez2cu0ahbTad0b9ex0WnNUaz57PVbwsSBU9Zv2QWY5Yc4vbu6QRVn8B26/KjV0o+4DesOXEyB9jtMrzSB5fmvWHnanu8Tz9Hd+J85ozqjffEEdyRmcd2BzWmj9Qh8bHo0nqturBtuRWjJzl/uZfKfBJ9LIRHA1wL9WH+An9qq47Ba6UdW9YsoUE7DcyN1WlXwc+r4ovcitjGwhUbyGwgj90iFwwHtfpqocy8uI0xjjuQHb+WhWNkqU0Oy2zNyJNxY7n1AKHiln8vlJFj3NBd5otd+TfzIM4Pq1UXcfPZhEp5VB4UsmmuGYHp7fBc7YhaDwluH3dnxrHa7PCwp3V9Ael+wBKzqWQqO+BuO5R6VeHSDjcmedXjVMpsPnkGCI5+sdt0mbmrVzOoVQ0Kcl5y7uQubud3JvfRCQ7sTeRp9luKG8mxYddORvVv8pvZhh8mh7BgqTvP6YPlrLlY6vT/rLhe3TMT1weqHHISLOaCUsr9Q4uYHlqHbZsWfyYLWY/Os3qhM8efV2XYyKnMnqJPM6F5Cm6f3IB1cC1O7LKh4tAVpFhIvxBP+K23dKrzAG/fI6Q9fcmrvCpYOW1llc0Q6n4+UPUdv2r04JL+brbM1fq9aQkKrzK663hGRsdj3lk0PzxPXo/OlKAfXyshxd4jm+ldv5aQ0Ay/voiM3c4snjyUx0N3EmTeELdyhWZAwVX0Nz8mdJ0xKYtkWPJgCLGfFZpSYr0sMQtsSUri+nKC/Puv/W+q8ZOnbX8PTVH6cWEyr/Ha/b6W9kqLuXtqJVHtnJn6+2vYvwnzf0VbK41y+le0/P+xke+vMMl6KVYbdqFcHqVRmJfFq0fp+DpO4mi3lVxZrfXZRHUzaje5HfSQ6fxbxyx+3ZaCt3FYDrdn2p6zaLT/nYyClcBwP3o701bsQH6oM+PHKdClRW3RjrXvta8ITZ0Ub9pODEa+TX0Ksl6Q3NaaN/tnCdWQzFvH6aW2hQNX96FUISfU/yPq/9BHZ+E1dTwFZutwGNxFtKkryuN1xmPC/J2ZtbsNqTc8afc3S8Eft9kBm/M9ifO2pnGtKsL0I1lvX5KWcpBpc7axPjwG1Q4iX66i17dZf+A2U62H0/iLE+QP+/PsFltsU7U5v3G40BfvZ8un8S7woXkTvwZph2akJo1iYzmhKT7uw1PFCYyXbgkPg7FYmEJQOaER4G9rZIaUexBT+jX64WnvP/te/5T6f47QFDxjziAZymyDcRojT5O6tRGYXQVSc+bLRxzbk4TSLEu6/JWp6f8pyP/D2/E8ZBJt5qVz41o4vX+kT//DcfhfNu/d6YX0dLzBxegQ2pVnixY9v5Roryk4lliwUbc9vds35NKZfTzvaMboAb8nzXzdgscxATifKGLNssm0+Mnc67nZb8m9Fozpwu0UDlrDmXUaXP4NQqMeJkXyEiWheTD7zRvqNGtG9aIPBC52oYbFCiz6/V666f8l8v/AZ72JQKXXPBafi0G789cuCK/ivRk0t4TzCbOQ+F+fp/U7UDuY9OOy+gHCpvf8Opt14WMcLCwYMsudNh360rzgCWeu3MVkhBE1P+U8+yPdmPec9Rbm1Lb2Zbr+J8feP3KhqM5XhCZhLQOXtOF6pB4bygnNq62zeKPvhq18m699aErzuHHQhUMvh7JkluYff+C/rOafIzQlORx0NmfKhjgat29Dvdo1hSqNwHGySmsdfH0cUfiDu79/Ge7/7OYWvWfnlEGM21PAmtBkHDTEtt7/RYeX5qQybqgej6UXEOAygW7NfqEk9z3nQgPYd6EhU1QzGGzpTYc+irh4bUR3QOURTT9815JCHiTsxmfPC+Z7OND82+RQP7j40l4f0jobY9L+GS2nXebOkYnc/obQbPRwo/ab16y2m4aexzGGtClhV3gGxoMb4D19KW2nLMZUubN4d/rfHlClH9lgpY3nw94EbVmBWvdmVCnO4/7lULz2nGOikwv9JGr/7fohYfsc1ByOs3bbXqbrDaRmNch8dAUvNx+aDBlDguckTj+rg6aVIxsXmNDyK+L/x0Aty81g1+q1PFewZZ5Op5865FNAaPzKjhPkqInzlBVIr17IyGYFn52C2z7ewwibV5y6vpTs7XKo2j/EPfIZHZNWk9xEizmjBlL/6xCrP/bS/5Jaf47QlIP0/EYsu0OOce3uK2jRDb2h2owYOuizzfRfgqW4meUIHPe1ZH/SFziUDBYxzfTr84nEYP13ECjKfkPs8QOEJV3i5Yd8JHrIoD3UgMGyXSh5exGvgAjUzWch3+HP2Qqynt8jjVYMbF3J2QO/0bSXjy+SFr6TzbFVmOC+gp5vQ1ngcVjon+XjPpUDXsu5/LgLrqvHU/P9VZa7rON51fY4ujjR6H06b+p1p1/LP3di8X8H9X/oXYtyuBR7khPhcdx7kUkjia7IDNFimMag8gzUf892v7sbz6HDYcRefwQNWzBQSp6RI/To0BhiNi8jpYEOM0wGU+erSKWfbEtZATdPhdNEcxgtf/JT2unpwOmr7zF3cEevTxNSvNaw6cJtUB3PzskKRC1yZtvT1xhYjSf31kvGT1fh/LlSBpWfr/eTb/qvqv6XEJp/FWLixooRECMgRkCMgBgBMQJ/OwTEhOZv1yXiFxIjIEZAjIAYATECYgR+FgExoflZxMT1xQiIERAjIEZAjIAYgb8dAmJC87frEvELiREQIyBGQIyAGAExAj+LgJjQ/Cxi4vpiBMQIiBEQIyBGQIzA3w4BMaH523WJ+IXECIgRECMgRkCMgBiBn0VATGh+FjFxfTECYgTECIgRECMgRuBvh4CY0PztukT8QmIExAiIERAjIEZAjMDPIvB/3kRQUZuZa4UAAAAASUVORK5CYII=">
          <a:extLst>
            <a:ext uri="{FF2B5EF4-FFF2-40B4-BE49-F238E27FC236}">
              <a16:creationId xmlns:a16="http://schemas.microsoft.com/office/drawing/2014/main" id="{FEACFAEC-5C5E-41CC-ADAD-F6C6A8D2214B}"/>
            </a:ext>
          </a:extLst>
        </xdr:cNvPr>
        <xdr:cNvSpPr>
          <a:spLocks noChangeAspect="1" noChangeArrowheads="1"/>
        </xdr:cNvSpPr>
      </xdr:nvSpPr>
      <xdr:spPr bwMode="auto">
        <a:xfrm>
          <a:off x="7248525" y="8686800"/>
          <a:ext cx="304800" cy="2874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389</xdr:row>
      <xdr:rowOff>0</xdr:rowOff>
    </xdr:from>
    <xdr:ext cx="304800" cy="287482"/>
    <xdr:sp macro="" textlink="">
      <xdr:nvSpPr>
        <xdr:cNvPr id="6" name="AutoShape 2" descr="data:image/png;base64,iVBORw0KGgoAAAANSUhEUgAAAjQAAAG/CAYAAABPFE2FAAAgAElEQVR4XuydBViX1xfHP3SXgAiKXVizu6ZO58KaPefsBEHAFgXBxO6cm06nzprdXbNmYM3EQEW64wf8n/si/g0QVNLd+zw8m/C+5573e+577/c959xz1ZKSkpKQTSIgEZAISAQkAhIBiUAeRkBNEpo8bD2pukRAIiARkAhIBCQCCgKS0MiBIBGQCEgEJAISAYlAnkdAEpo8b0L5ABIBiYBEQCIgEZAISEIjx4BEQCIgEZAISAQkAnkeAUlo8rwJ5QNIBCQCEgGJgERAIiAJjRwDEgGJgERAIiARkAjkeQQkocnzJpQPIBHI3QikXRkiicSEBBCFI9TVUVdXR01NLdWHETKSr81AlQk1UNfQQE1NPQ1gkkgQshIzJktNXUPRLa2WmJhAUmJi8nOk09Q03i8rKSmRRFVCemKUv6sJzDQ03nNtEgkqVYb0Ql0NDUVW6viLThISVBnDTF2YUzNNWwpZiQkqkjKIvzIu1NN+zsTERJISX46j9PBPB7NkWcKWGTCmOmhoaKXZ44eNWbWXYzYT8FcTY+PNcZbWO5jW+5ahAZgLL5KEJhcaRaokEfgcEBCLc2R4OP4BLwh4/hx//xcEBwcTEhxEaFg4kdExxMVEK49aulQJfu7dD11d3VQfPSAggCULFxIcHER6pbPyW1rQvWdPrG0KpSorOjqK9X+s5ZrPNcQC9r5mZGREl27dKFOmbKqXqVQqTp84xo7tO1AJkvSepq6mRuMmX/Lt963TJG0+V6+yauUvJGZgQa1VqybtO3ZOk9RERoThNcGTuLi4dIdT8eLF6d2vf5r4CwEL5s7m/v0H6eIvMOvZuzdFihZLtd/4+Hg2/bmBC+fPp4u/trY2bdu1o2btOqnKEmTy0sULbFi/ASH3fU1DQ50GDRvxfes2aeIf8MKfBXPnEh4RkS5mRsZGuI1zR0NTM/Ux++IFSxcvIjAwMF1Z5ubmDBpsj2m+fKleGxsTxbLFi7n/wDddWcYmJvTo2ZPCRYoopD4iPIzFixaio62NiakppqZmFLDKj4WlFVYF8qNvYPRe8pluh7noAklocpExpCoSgc8JAb8nj5gzYzoX/7lMSGg4YvEXBCLlRxCTFHJSs0YV5i9ehlgMU2sPHz6kd89e+D15ku4iWLxYYWbNmU3psuVTlRUeFsrY0aM4dOiootP7moWFBVOmTaVe/fppLs7rfl/F9BmziIt7/4IqPA29+/RkqMuwVBcQgcvBgwdxchiS7jMKZdq3b4v7BK80F9SQQH+aNm1BVFRUusOqRo3qLFi8CEPDtBe37l07c/7CpXQJjaWlBXPnz+OLylVSfc7YmBg83N3Zvm17uvjr6+szdswo2nbomCah3LNzO25u7sTExLz3ObW0tPipezdch49IE/+Hvvfp/mM3XgQEvVeW8GyIsXHw8CG0tLVTvdbX15d+vfsgxm56zda2EL+tXkUBa5tUdYuKCKVfn35cuHgpPVFYWeVnzty5VKhUSfG6Pfa9T7t2HYiOjlY8jeJHU1MDI0NDalSvSomSpShoa0vhwoWxtimoPBdpeErT7TyHL5CEJocNILuXCHyuCNy7e4efunYjKDj41SOKhUBbWwuxuIjJVl1dA319XcqXL8vkaTPQ1zdIFQ4/Pz9GDnflhb8/iemEKmwLWeM23p0ixUqmKisqMoKZ3lM5dfoMCQnv99CYmZkyfNRoqlatluaCumPbFpYvW058fNrkSKwP4tk7duxAz979Ul0wBLk7dfIkXhPc031GoUzLli1wcHJ5GSp6V73w0CC6de1GTGzs+xdnoGLFCnhMnIyenl6aX+vDhg7hqs/1dAlNPjNT3D09KVPWLtUQlvAYzZszm0MHDqTr1dLT02Xw4MF89fU3qT6DCB0eP3KQGTNmpksoxSLetm1bevcbkOozCvyfPfXD2dGeoOCwdAgN5MuXj1Vr/kAzDQ/NUz8/Ro0YxtOnz9J9xW2sC+A9cybmFvlT1S0mKpzRI0dy7frNdGWZm+djnLsHpcuUVcjLrZs36NOrN+Hh4YoX6+33R7yLBvr6GBgaULtWTdw8PNDRSd1Tmm7nOXyBJDQ5bADZvUQgLyIgvByxsbHkM7dIM78kIOAF7m7jCAoMxNDISPG+mOUzo3zZEpQsWQrz/NbovXR3i9CCjo5OmouzCC1ERUUn53Gk0wRREqErTc3U8xuEJ0R8zatU8ekuzoJw6eropPkVLhbBuLhYYmIEaUg/70LoldZiIWQJncRzZkSWtraO8pxp5UGInKPIqMgMeXsEVkJWch5N6i0yMiJdj4q4U0NDU7GlWChTa+I5Y6KjlcU1KR3MRMhEyBI/ackSBEnYIL3woRpqih0FaUurCZ3E2BDjLb0mntPAwCBN/AXZEl6RjIxZMc4EqUgrJ0pgFh0VRbzq/V5AobMgMXp6+ootxdiIiY7i0YM7iHCmz/V/CQsLV0Jq4WFhBAUFKSGxiIgIJW2oUcP6zF24EDG28mKThCYvWk3qLBHIAQRU8fGEhYdz5Z+LHD50iMREFaPd3NHT109VG3F9QGCAkmaqo6urLCRaWtqpLgAZTU5ML39GKJJRWYI0pJeqklFZGdEro7plpizRZ0bkZeZzZqasjGKWkefMqF4ZkZWZemWHrJQxIP6boIonOiaG6KhowsJCuHLpMlevXsHX9yHVq1dj8BCnNGeXlDDx+5Lkc2BqetWlJDQ5ib7sWyKQBxAQX63Pnz1l184dHDl8lPv37xMeHoGxkSFTvafSoGHjPBtzzwPwSxUlAlmKgCAp8XGxhIeFK/lYpmZmqfaXHJJ7wulTp6lVuzb5rQqk6YXLUoXfI1wSmpxCXvYrEcjlCAiXeUhwILt37mLL5s3cvnMXlSpBcWkLV3uVypXo07cP1WrUUrYQyyYRkAh8vgjEx8Wxbu0q5s9fTP78+WnduhXftWqFpWX+NBPTsxsNSWiyG3HZn0QglyMgtluL/JhDB/azY9t2Tp3+W9n6q6GujomJMQ0aNqBRo4bUb9QYAwPDDwjx5PIHl+pJBCQCaSIQEhyMi5MD587/8+rDpmqVL2jTrh1ft/wGPX2RUJ6zHzaS0MgBLBGQCLyBgAgveU+ZyKHDJ5SkRpFcqK+vR/16tenbvz+lytilmXAroZQISAQ+TwREiYO7t2+xYP58Tp/+W0mEF78zMNDn65bNGTjInvz5rdJMoM8OVCShyQ6UZR8SgTyEwDWfq9gPGqzsfjAxMaVZ08a069CB0qXLoqWtpWy1lk0iIBH47yEgdpKJZP8HD+6xeeMm9u8/oBTMFPk1ov7Nt9+0pPOPXZV6NjnhrZGE5r83JuUTSwTei4DYUrv2txXs3neQIY4O1KhZG1291HcySSglAhKB/yYCIqfG5+plli5ewslTp5U6TMKb27RpYzw8vTAxNcv2cLQkNP/NsSifWiKQJgLiays2Noaw0FDMRZ2Zl/UsJGQSAYmAROB1BMTGAXFcxOGD+1myZDkvXgRgYZ6PhYsWULZ8xfeegZYVSEpCkxWoSpkSAYmAREAiIBH4DyCQXBBSxd+nTrBw4SIqVarEUNdhytlR2X2EgiQ0/4EBJx9RIvA6Akp129hYJXkvtxbIkhaTCEgE8hYCwlvz9MljZQu3yKHJiSYJTU6gLvuUCOQQAoLMPHn0iPnzZtOoYQOaNP8mzbLyOaSi7FYiIBHIowikVCT+kKrMmfmoktBkJppSlkQgFyMgJpsXz58ywWMCx46dwMamAOPdx1O7bv1sT97LxTBJ1SQCEoE8ioAkNHnUcFJticCHICC2W4YEBeLp6cmRQ0eIi4+nVMnijHUbS/VadT5ElLxWIiARkAh8MAJiDgoLCyUuNg5zC4v3HoT6wcJf3iAJzcciJ++TCOQhBJ48foSLszPXr91QEvhq1qiG2/hxFC5SLEcLYeUhCKWqEgGJwEciIMiMKMrn6e5OfGISXpMmUrx4iUyvVSMJzUcaSN4mEcgLCIgwU3BQIN5TprBz1x7EQZN169Rm5JhRlChZShbJywtGlDpKBPI4AlFRkUyfOpnNm/4iXqXiyy8bMnnKVIxMTAC1THs6SWgyDUopSCKQ+xAQxa9+WbaYJUt/ISYmBhvrAkyaMolqNWqioaGZ+xSWGkkEJAKfHQKJiQncunGNYS4u3Lv/SDmlu2uXjjg4DUXfwDDTnlcSmkyDUgqSCOQuBIR3Zs/O7YwdO14hM8bGxgwb4cp337dGW9SIkE0iIBGQCGQTAmJb94Xz5xg7eix+fn5oaWni6upCx85dMi3sLQlNNhlTdiMRyE4EEhMSePDgPq7Ozty69S9mZmb07NmDbj//jI6O7kepIuLgCQkq5dwW2SQCEoG0EVBDDU0tLbl78C2I4uPjOHHsKBO9JuHn95TixYviMWECX1Spiqbmp3uMs53QJE+GckKUk8Hnh0By7YXMiwd/CkKCeNy6cZ1RI0by8NETnJyG0LFLF/Q+8kwm8d7e+fcmG9ZvQJz1JJtEQCKQOgJiHhC7eLp2+wnL/PklTK8hkFJV+K8tm/HynEhcXBylSpXE3cNdITWfWugzWwmNcDkdObCXJIXQ5I6JX442icCnIiBeUjG2v6hSjQLWNrnmq0zodeniefbv3Uuf/gPJZ27+0Y8qvDMnjx/F1WU4YWFhHy1H3igR+NwREISmaNGizFswT0m8l+1dBCIjI3B1cuTkqb+VXZctW7bAfcIEjIxFkvDHt2wlNIKNDR/qQKOmzRV3nGwSgc8BAUFm/j59hm+++Ya69etnSX2Fj8VJkJr4+Fi0tHQ+iWi9TWjEqbriJ6cqgn4sHvI+iUBWIiB2EYpWpEgRSWjeA7RIEr5/7x5uo0dz+YoPpqYmjHd3o+lXLT5ps0K2Ehph7JlTvHAaNhIdXb2sHFdStkQg2xAQRH3tmjWUKlmS2nXr5ipCk1kgvE1oKlQoT7sf2srk4swCWMrJ8wiI9W3Llr+45nONwoULS0KTAYtu/2srU6dMVfLyOnXqQJ/+/dHX//hdT5LQZAB0eYlE4H0I/BcJzdctv8bD0xNDw4+ffOSokgh8TghER0fj7jaOvXv3UqhQIUloMmBcZe5c/RtWVlY0+rIp+gYGGbgr7Uskofkk+OTNEgGUxLb/moemZcuWTPDyxNDISA4BiYBEABCEZtxYN/bu2SMJzQeMiASVCvVMCl9LQvMBwMtLJQKpIZAbCE3K7kE1NfUsMdLbISdJaLIEZik0DyMgCU3OG08Smpy3gdQgjyOQ04Qm+ZyUm4SHR1C8REmMTUw/efvj2yaRhCaPD1KpfpYjIAlNlkOcbgeS0KQLkbxAIvB+BHKa0ERGhDPBfTxHjx6jUaOGjBw9BlOzfJm6A0kSGvkWSATej4AkNDk/QiShyXkbSA3yOAI5SWjElvE9u7YzwcOTyMho6tatzaw5czHI5GRdSWjy+CCV6mc5ApLQZDnE6XYgCU26EMkLJAK510MTEhKMl4c7u3btRUdHh/4D+9Onb79MKSP++lNLQiPfAomA9NBkyxgQhUoTE4iMiFAqm2t9wLlzuZrQJCUlkpj47jEJaurqqCtl5nOmiQRMMcG/3UTZ5txSaEzo9+6ZO2qoq6tlmY5p9amhkTWJqu+1vrBRUlKqGGS2PjnmoUlK4p+L53F0cCQgMAi7sqWZt2A+1gVtM93GktDkzFwje807CEgPTebY6qnfE/bs2snZs+dwGupEGbvyGRaciwlNIncuHMHF0Y1Qdc1XxcrEAVZdB7nyc9vmGX7IzL0wkTMHdjDWbRIJ2rqvki81DUzpOWw87etXRDMnFvDXHjIhIZZfp4zlt12n3zggTcu6FMvnTKWQpWnmQgKoYmNYOmkkfxy4gLb2yyrQauoYlqrO5oUTs73YXFxUBBPHDOPg31fR0Xl5srSaOhXrN2PqWBd0UnTMBCRyitCIfmd4T2HN7+vQ1NRg+HBXOnXtliVYS0KTCQNFivisEZCEJnPMe+rEMdzGuBEYFESrVt8xzn1Chk8WyL2EJimByyf+YpjjTDo7DaH6F2UV7wJqalgWKIiVhVnmoPfBUhI4vG09XpMX4jhmLMWKFFROpVJT18SyoC0WJoYINXOyqVSRzB3jxKl7kQx1csDE+GXxMy09ShUvkqmLecpzxkVH4D3CngAta37u3hkN4a1CDXVdQ+xKFsl0j0F6+MaEhzDKyYFozYL0H9QFLXXhJVJD39iEooULZaqHL6cITeALf7p1/RHfh48oWrQwi5cswbZI0SzBWhKa9Eac/Pt/HQFJaDJnBDx76seoESM4c+Ys5ezKMnvuHAoVztgakrsJzfG/GOEyD9cZ3jSp/+kncaYF97uhmf9f+W4IKZnQTPFezsxlyylftnjmWDGDUnzOHGHN348Z278TBrqpn4elEJqxTlx6ps6smdMwz/dpB35lRLUUQpNkXYkRI5xeEoiM3Jk110SHBzPGaQja+aswwcsRbQ2NrOmInCusd/zIYZycnJXCfq1bf884dw+0dXSy5DklockSWKXQzwgBSWgyx5gxMdHMmj6D1at/x8jIkAke4/mq5bcZKkXxnyc0YpfIU98HRKkS3rGGmbkF5vnM3vqaz1lCc+yvP5i27y6rp7liZqCb6giShAY+d0ITFxfDvNmz+eWX35RkYA+PcXzbqjXq6llD3CShyZzJWkr5fBGQhCaTbJuUxIVzZxgyZChhoWE0bdqEKd7e6Oqlf/5jric0Qx2mUK9Na0qXEImO6mjpWdC6dVN0tbQIDwlF18gQrde+vhNVcYSGhmNoavrG76Mjw4mITcAy35v5I/Hx0cx1G8390BjeTj+u3/w72rdqidYbOTHJhGa8x2y+79KFAlYWCuGxsrGlUcN6aGlqZpJVUxeTUUIzZ8wQDlx+Tps2rTAwSB4IlarWpLxdKSUclNlNeGimjRjMrRANmjVtjIa6GhqaOjT5qin5zTO3JkpGdBeEZrSTPU9Ctfnm+8ZoqqujqaWrHB5ZxNYmU8MyORFyevzoIa7Ozly54kOVKl/gPWMG1jYFM/W5XsdZEpqMjDp5zX8ZAUloMs/6UVGRDHN25vDhoxQvXoxfVq7E0soq3fkt1xOaIYPciTc0RE9PJOBqUvOH3rj1bacQmj8WL6F2p/YUFUXElEwWiPK7z4IFK+nk4kjhfObJCCclcHLvVrZd8WfKsAFvgCKOMY8IDUMldgW9ZQ89fX30dHXfAjGZ0IwYOQkdU1N0dHUUV1iDr75jhPNg1BKi2TR1MjZtulO/UplPztVISkzk8qn9/Lp+O7HxKgKfPsE3KJoKpYuhralByRoNse/RGR3N/5MU4aGZM3oIa/dfxNjY5GWSqBbO4zxo0bBGuoQm8OlDli6Yy6OASJLeQkXJi1HToteAQVT5ouxL1CGZ0Axi64nrmJgYi1QnjM1tmDt3JgULWKY7EN/3KkSEhzJvmhcPX4Snepm2pjFDx7hQpED+V/2kEJrjF29hYmqkkGFTSxvGurvzRdnin6TP20rkBKG5cP6ccm7Mixcv6N69G4McHDPkkv3YKUcSmo9FTt73X0FAEprMs3RCgoo/1/2Bp+ck9PX1WLV6FWXsyqU7x+V6QjPMaTYOkzypV7OisjBrauuir6utLEjzPCbQdGA/ihkYoKmjp3hHwu5fx919OgOmTKS0tTXxsbGoVPEc2b6W304/Zu0s9zdASUxU8fTRI2LiE94hNKb5zMlnZppqyGni1MVMnDOPMiUKI7aRa2vroKurQ6IqlvM7NmHyRQNKF7NV7lXFxRKfmISuri4JsTHEJSQpRnrVxL77uCjiEjUU4vZ6E1vX71//h4NH/yZWlYDvLR9O3g2i3Vd10dXSpGApO75t3gTt17xIyUnBjpx/ksBELw/MTIwVkfqGBmhpaSkkRMgVL6CWti5amm+GKUKD/Nmz4y8ChNfq3V3zqKtr0fybbylZ3PaVqik5NDH5yuA4pD+aasJDo4muqCPwUr7oMy46EnUtPbS03u/JSlSpiIqORk/fgLiYKLZtWs+LkKhU3xhNTX3admpHfnOzVwQrmdAMAeOyjHYbgJaaOhqaWorbMkWfRFU8MfEq9DPgynzfq5oThCY2NoYnjx9x984dbAsXoaxducybTVKRJAlNlsIrhX8GCEhCk7lGPHXyBEPsHYiNjaVt628Z5zk53fpauZ7QvC8peM648ZT75iuuHdiPloU1P7TriF7kUzzcZyiEppCRNuuX/4pfRDRaqnAuBumydvb4NwhNXOwLnLv+zM2g6LcWbzVade3BoN7dUg05pZUUnKCK59LOjZhWrodBhD/XHvrz7O5NHsWo0ap1K64f2cn159G07dCB8iVsuXv6IM+TDLl97iABSUa079iZIoUKpMlEMxpyel9SsFjIL584wO6jpzHIZ4WxgSnfdvyB/Iap5+RkZJimlxQsPGHXzp3iwOEDaOgV5MeenVD5P+a0zwMafdWE6MD7nL7ynC9rV+DfW7cJfnCdo5fvUL9RM1q0aPzBobz35dAIYhXy/DE7Nm7hSWQ837ZpS/lSxdJl/2nhkBOEJiM2ycxrJKHJTDSlrM8RAUloMteqN29cZ/DAgfj5PSN//vxs3bYFs3wW7+0kTxOaWWNHEWFuTeUSRXh24ywh+iXp9lUVvCfPpf/Esfx7cBs+/mpULleEk/v38G+iFeveIjSq+BgunTlNQMS7hKZEGTtKFiv81kL3/qTguKhIVgzsSIleI8nnd5nlh2/QvEVT/O9fw+dhCE0a1SX86QOexGkzuG9PTswazoFwM5rUr0Xws/s8CganIf0x0E+dXGQGobl36SSzlm/gh3YtObVtK0mWZRjs2B9TQ/2PHpHvIzRJiQk8uXaGpet20bhpE55dOsH1aBOG9GjN2mWL0ShoR+KzfyndsDXlbExYNnc+ZWrUwdhAkzOHj9Nl5DgqFvywsNX7CE1igoqj2zew78J9vm/egPyFi1HMtmC6oThJaI7i6jKcsLAw5GnbH/2qyBs/UwQkoclcw77wf46jgz3//HMFExMTFi1eSJVq1fMqoUnkyom/cHX05rvevahYroQSvhG7OAoWLU7xwgWZ5+5B4/59sctvxbP7t5iz4Bd6dWvPsrlL6Td6EDtXLqV+j9HUKF2QPet+YdXfT94JOX24CRI4sn0DHl7z6OUwhMKFCigi1DS0KFy8NAVMdVk5qPNLQnOFI09h8KA++J4/xOozvrgM7k3s/XMs2LCLPgOGcn3pePxKNaFnp9YE+PkyZdpsxnt6YfoyTPS2fj5njvLnRT+G92qf5rbtBFUU88Y6cfhmMH369MT4JVFR09KnapWK3Dm7n8VbT+Pq0JPj61djVKY27X/49sOheO2O+OhIvEfa80hlQof2rdBQS677oqlnTPXKZTm8dh7HHqrRqfVXJITcZMGa40yYNpUk3ws4O4/GrF5bJroOQBX0lA3rNtK57wDMDbXZvGAiT6p2xqFRhQ8iHDHhoYweak+wypxu3VspScFCHyMzcyqULcXl0weZu3YPjv16ULJMGUwM9T86r0Z6aD5p6MibJQKfBQKS0GSuGUVYfcv6tWzcugMLc3N69OpJ7Tp18yihIYnn92+xdvUfhMQlKgX1RNPQ0KRus5Y0q1+DuePdqde3H19YW/H07hVmz19Fn+4dWDZvOX1GDWTXL8up32sUNUsWZNf6Faw++5Q/Zr0ZcvpwEyRx99pl1q/fRGzS/yvoaejo07BlG2qWLshv9v8nNMeeqzFoYB98zx3i93MPcRaE5u5Z5q/fSe8BTlxfMp7HJZvQp0sbXjy6y8Sps/CcPDVNQvOqZo5aShr0u08gPBAnd2/m4N8+b+QFqRvlZ0Dvnwi6fpJ5q7ZTyLYAOnomtPqhHaWKF/5wKF67IyE+liPbN3H04o3/EwM1NXQti+DUp7NCaA7ejaFz228Uj5eOniGlSpXk0YUDeM1YRL6yNRk+1B5Cn7Nu7Z906T8Qc0NN1s2cQEDVDjh8VZ0PObJAFRvNtj/Xc+nm3Tf0KVSqPN07tUEtIZ57d++w9881aJasTa9O36P3kdWDJaH5pKEjb5YIfBYISEKTuWYUa11kRDjh4REYmxgr5zqJteN9LfeGnDKAzaxxowklH11/asW9Ays4HlMW+xaV8Z46j/4TR3J+01qiTcryVf0qrF0+j8vR5qz9ZELzfsXeDDldIS1Cs2D9TnoNcOLqwtFse27ICNcBPL12gp0+obg5D8Dw9aThDGDxIZec2L6eX/eeoVfXjhgaGmBZwIb8FubKVuusaIJg3f97L4s2HsXecRCayjZ7TSxMdVkweTyWFevz8NLf1P6+E2ULmDJ74mSade9BiXx6LFr+Ow6jxlLEyjK5UnRmtKQkQoMCCY2I4JnPcdb7hDHWoQ9m+h9XlE4SmswwipQhEcjbCEhCk/P2y9OEZv2aNVib6XP01N+ExiQycKgLVmpR/LpyPa0H9EU3OoxfFi0kMkmX0tZmPFQzZeSgHumyvE8xiyomhp0zx2PzTVeMA+9xOUiNNq2/5dmti+y74U+ntt8S73eDzYdO8833P/DPgjEcjzNDTz2J+CQ1OvUcSLmiNh/kjfhQfc/s/ZNfd5+lS5vviXp8jZ1XXuDlPhzTNPJ2PlT+u9cnkRAbzd6//uTEpVvKWVdVajejpGkMB32e0r1Le55dP8vOEzdp2bIR21etxNhMj4dBcZSvWZ9OrVqiraX50SGht/URBOvKqaNs2XeYpER12vboTcXith99BpckNJ8+Qj4XCaLMgvAm55ZDanMLruJrOz4uTtn5mNYhvqLIqbhO/D29L/Hc8lyv6yEJTc5bJU8TmlfhF3GqsqiPIr7glf9PpYn9x9k00SiTmqJLsh7K5PZSr///fxKJcbHs9x7Bs9JN6dYuubSz+HtWT4a7/1jOoWvP6dSmBc8e3ODszQAch/TD3NggS0fk6/ZKCSGm4JPyt+e+d9m4bhOd+vbD3Mwky/AQ/aX0+amYZyehESUIApzoU3kAACAASURBVPyfY6DUZjJQFoisHi/CRnltl5PQNzQ4iCd+TxU7izpEhWwLKcmFWYWXWLDPnz6FmZU1pUuXUt5nSXCSp5TQkGB+XbaERl+1pFKliqkSlhuXz3HmwlU6d+mC3ieWUsjSiSwN4ZLQ5ATqb/aZpwlNzsP3aRokxsdxfd9mwqzKUKda5SybaN/WMjzQn/Mnj3D22j0sipakWeOGFP7E4nefhsT/7w4N8Oef8xep1qAhRgYfv+sqs/TJiJzsJDSPHz5gmIsLCYlJ1KlbD/shQ5TaQlnd8hKhSVCpuHLxLN5Tp/P46TMSk1AW0LIVKjJxkhfmZmZZ4gHwf/qYbl268VPvvnTp0klJYr988Twm5vkpWjRjh+tltR1zSv7DB/fo2bULHt6zqVun1jv4C9K5Zsl8/n3kz4gxozHIwpB7VmEgCU1WIZtxuZLQZByrzL8yKYnEpESSktSyNMT0tuKiDotw7yYmii9X0bdGlkzwHwOY0C3lizqrvqQ/Rq/33ZOdhObqpQsMGuRAcHAIrVp9i4enF1raH5f78yE45BVCo2zJ37+beQsWU7VmXdr90I6iRWw5fnA/i5YsRd3MmhXzZ2FmaqKMs5QQh/CkCIdqRrx1aXn3REXrTX9soG6zphQvUoSAx3cYbD+Udl2607Fje+U9SxnTGfUQvn5wbvJ78X8P7isZL73Pr4dp3r4vxRP69julyHgtTCb+/jouKWNE2P9NbJJezR//f6ZEkgR7TNFR6CuSOJOSuHb5Aj16DGDl2t+xK1PqlayUe0X9rknjx2JqU5T+/foqIeYUz6BSIOylzNw8J0hC8yEzStZcKwlN1uAqpf6HEMhOQnPi6GFcXYcTGhpGtx87M2LMWDQ1pYdGDDexED95cJthQ10pX7Mezk4OSuhCLIKq+Fg2/LaUuYtXs2TFCr74oiKB/s958vQZZcqW5eFtH/wCwilV1g5rq/8foZHaMI6NicHn6hUio6KxsS1MiWJFlctEiOvWv7epUKkSEcEv2LVtG7+sXEPrjp2pX68WFStVwsAgOawbEhyIj881hRSI/kXhsNTIxnO/Jzx/EUCx4kW5deMmZpb5KVGsmHJtVEQY/1y6QrxKhbaWFjVr1VIqqQry8ejBAzS0tTEy0MHn2k3UtXSpWuULdLS1Xz2SIDK3bl7nmX8ARkZGfPHFFwrpCgrw5+69h1SpWlnx/gmP1+1bN9AxMKJokWRPk6jeev2aD0WLFcfMzIwEVRy3/73FM/9ALCwsKGJry+0796j0RXJ46cje3XjNWsLqX5cQ8OwxIWGRlClfAStLC4XwxEZH4eLoSNNvv6dt61ZKH+Kj6/rliwSGRaKro0OVqlWVg1hza5OEJuctIwlNzttAapDHEchOQrNz+3bc3d2JCI+gX/8+OA11Ri2LTth+3Sx5wUMjvvIXTJ/KmSu38PSaQLFiRV8dWyLIzpF9uxjr5s7sBQupVrUqf/y6lH2HT2BiZIBKXZfokADiNXSYMX0aVvktUxmVSdy54cPUSV7YFC2DjY01PlevMdZjHJbm5hzet5vf1vzJpMkT2fnnWtb8uZXwiEhlwS9T6QvGjhlNPmNDNq5dw+79h6hdtw6xUZEcOXqUgfaOfPfdN2/0KYjEqhVLOHbmHEZamtx9+IT2P3Wna4d2SjHQlb+upGipshjp67Jnzx5q1m3IyJHDiQoPwWvsCPTNrXno+0ghFUcPHaF2oyYMdbRXSM2De3eYP3M66OhTqlQprlw8R3h0ElO9J3H/1lWmzVzIzPnzKGZry3O/xwzq15e6jZvj6DRE8SZfPX+MGXOXM2rceIoVsmHJgnmcv3SVKpUrc+HsOXQM9FHXNmDh/FnK9et++4VDx44rRKVw0VI8fnCXuAQ1ps3wxtLCnODAAJwdBtPXfih169bmie8DFsydQ7QqETu7cvhcPk882kydNgVjI3E2WybteMzEuUcSmkwE8zVRUZERBPo/U9Iu81kWQF/f4FUZl7d7lIQma2wgpf6HEMhOQrNl82YmenoRGRnJoEEDsHd0ypbJPS8QmtDApwzu359i5aoyfLgrRoaG//dGJCWyb/tW3CdMZuHSZVSoWA7PsWPYd+g4DkMcadXmO04f2M0U7/nMX74EO7uy7+Aqju9Yv/pXfl+3iYVLl2JTwErxCqV4RdasmM/Ji7eYNHkSxoYGzJ46kZsPnzF92hQMDQwU78els6dYvGgZPQYOpnrVykSGBdOrZ2++/PpbhtgPenUWmVA8LjaWKZ7j2b5zPz379uenn7oo58G9eOqH2+hRVKxeh/79+6BGEucOrmfB7/uZv2ghEYFP6dimA5aFijF3wVxsCxVk9hQvrt95wux50zHQN2DiuDH4h8cwctRIrK0sOXpgDzNmL2TqjBnEhL5g2Ag3RkycQov6tTh74iiD7J348qsWTJkyiaSEOFwH9EJlXJDJnuM5f2QfqzdsxWn4CMrZlcXf7xGTPdzIX8wOt7FjELh5e7qxefshpkybQv36dbnrc57RHlOY7D2DsmVKc//GeUa5TWX8xEkUKWjF3MmePAyKYZr3ZIWA+Vw6w7AxE5k4cxa1KpbPvBIOmThPSUKTiWC+FKV8iBzcz4gRoxRP38QpU2jcuPHLA5ff7U8Smsy3gZT4H0MgOwnN5k2bmOQ1USE0g+0HK0nB2dHyAqG5fukc9gOH0KF7T/r27fXGQXbxcbGsnD+Dleu3sXbDBqwtzRk+1IkEdW0meHkqJ8Qf3rGFGQtXsmDJQqzMDDl48BDBYZFKhekKFStQtUplNqxZxYLFKxjk4ET79m2UPpJDMDEM69uD/HbVcHayR09Hm1HOTlgWLoWD/QC0tbWJi4tlxqQJJGkZ0bPHT5w4cRzf+/fYuWsPw0eNoWXLFm+YUnyZug6xR13XCHeP8Zibm4vAGlvXr2Hpr+vxmjgBv3t3efT8GScO7ueL2g1wchrCxVNHcRo2hpFjxipeH6HjdE937geEM23SBEJfPMTZZSyDnJwx0Nbk8tUr/H36NGHh8cxdOIugp48YOsSZnvYutPq2GQunevDMP4gn0QmsWLSA+7d8GOoyEgcXV+rWrM4oF2esi5Zi+Mhh6OnqEhYSiPuoEVRv1ILOHX8gNiYK+5+7UbnRV/Ts8bMSdhM69OrroFRFr1C+HMunuHPy5mPFA/Ps8X1GjXTDadhwrMyM+OfKVf45f464JE28Z0xTiKr00GTHW587+jh86CCODo4KoZk23ZsmTZumeUilJDS5w2ZSizyMQHYSmj/Xr2PK5KlERUUpZEaQmuxoeYHQnDl+kKFDRzNoyFB+7NbxjUT34AB/Rjg7E44BK5fOIS42hqH2g+nQoy9fNW5AYkICq5cv5OR5H7ynT+PeDR/GjvMgNDxCkdPt5+7079+fp48fMn7UGO48fESNWrVwch6KTYEChAU9o0P7H3EcN57mDeoRFx3GoL59aPVjb9p821L5ogwLCWZAj+5EqtQoUMBKyX3JZ25Bp65dqFSh/Bv5IeLLNPjFU/r16UO3voP4ruXXyiQuiNkktzGcuniFQgULKgu7qKBav1EDvv76a6VQ5ua1q9iwbQ/z5s/DKn9+hQQNcxhIwRLlGDCgH+vnT2Ll1iMUKV4MHaU6thr1GzSgdZs2GBkZEvjMF8fB9jT7rhO1KpfCa9pcnPv8wOR5a1m19jd2bP6T9Zt2sGDxQlBF4+TgyA/dfqZTh/aKh8nvwR1GjBiNy6jRVKpYkSB/X3r2GMScpUspaltI0fnRv//gMsoTrynTKGprTe9u3SlkV4Exo0ZwYMcWZs9dTOGiRRWPVEJCIrXr1KZVm9bK8+RGMiPeQemhyZqZ6OiRozgMHiwJTdbAK6VKBN5EIDsJzYZ1fzB1yjRJaFIZhGdPHmao00h6DRhMj57dXp39JcjYicP7mDVnEeO8PKlUvjwBzx8zfNhoZs2fh5mpGTEx0UwePwYNw3wMG+aKKjaWO7fvEKeKV3bqFCtWTEncFbIiIsI5ceQgy5auoN2P3encvh3XL5xi9ARvlq1YipVlfh7cvoaz8yi8vKdTobydou1zv/v06zmAPg5OfNW0sUIk1NTVlMRbQXheb4Jg+Vw8w6ixnkyeMYOK5cspOQTRUdEMc3SgUs26dPuxi0IghH6C7AgZqvg45s+YzINnoXh5TVC8GREhz+nTqx8/9h3EV182xKFrV1SmVnh7T8RAX1/JRxD3p3ibwkMCcLa3p0jZ8qjCgjCyKsJP7b+i74ARzJwzneVLllCncXNatvyKe7euMcxlBI7DRtG0aSOFcO3aspGVq/9g7sKFSp7RmcN7mLN4Nb+vXa14qkSy77pflrD70Elmzp2NekIcffv257u27fm5ezd+WzKfY2cuMXHKJCzymSn6iWcTOOVWMiMJTdatCseOHsV+kCQ0WYewlCwReA0BSWhyx3Dw872D4+DB2BQvg7OLK4UK2RAVGcXNK+eZPnMOlWs2wHmog1IR+tKJ3azecgDv6TOUhTI8LBSHvr2o1+wbfu7RXdk19HoTHpOw0CASk9QwMTEl0P8pY0eNolqjZvTo0omdm9awZddhFi1Zgq6uDqcPbGPeLxuYPmO6smtKXeweeuFHvx596NyzDz/80FYhKCJUpaamiY6O9huLtUqlYvfG1ew4fJaJE72wsDBP3g0UE80ol6FKfoyDoz36evpKBd7w8EjMLfIRGR7CqKH2FC5TlSGO9mhpaXLu8B7GT5zFzAXzKVWyGGP79cE3MoFZc2cqHg+RfBwVHa3sdBLeqJjoKCaMdOHG/cckqWuxYOF8LM0M6dK+MxUrlSU2UYuRo8coYbp/r1/BZegw+g524OsWzbh04QKTvLzQ1DFg8fIlGBsZ8uvCmew8dJZly5coCdKPfe/jPmYsFWvUZsgQe3zv3mLoUFccXYfTrEljVq9Yyo49h5kyYxpFCxdWvGcREeI8H5NcU14itREvPTRZMw9IQpM1uEqpEoFUEZCEJncMDOGd2LZhDUt+WY2hsalyQm90dBQhwSGUr1Yd5yFDsLQ0JyY6koVTvYjUMGT06JGKJyco8Dk/df2Jwc6utGj+1Tsnu4tFdesfv7F190Fll4XYuh0RFYn7BC+KF7NlzhRPHgVEMmPWDLQ0Nbn092FcR3hgW7goFatUwcF+ECQlMnm8G5eu36KAtbXwz6CuocnwUcMpUvjNwnvx8fFMcx9Jkp45zs5O6AtPiqjYrFKxduVyVq3dgI2trbKdWZAtiwLF8RjvytNH9xnYbyDdBznxQ+tvSEpMYM3Kpew9+jdz5s5Wigr+e/Ucrq5jMLHIr3hwRG31kiVLM2Soo5KAK8bzfG9P1m7cwY89ezF4wAA0NTXo1bUDN24/ZKyHOy2/bqF4dF48e8oIVxf8g0KxsbZWZOU3NyUwOIKZc2YpCcQjney59eAZFhaWGBoZEhwUQCHbIrgMH05BG2tOHdmL58TpTJ4xiypfVOTMsSOM9/Akn6UlJkbGSn0gS8sCuLmPQScbai597GiWhOZjkXv/fZLQZA2uUqpEIMcJzfZtf7FwwUIlXt+zVy9+7tEjW6ySF3JohAcjOiqSK5cucvfBIxITkovBWdsUonqNqhgbGytYibDI2TOnMclnSblydsqOGZGAu2/fAWrWqo21dYF3a8IkJvL0ySNOnfmbmOhYNLW1KF2qDBUqlkeNRM6ePoWali61a9dOrhETGc6xw0cIDAnDtkhRpTquCJv4PX7EubNniYyKUXQxMTXjyyaNlUTZ18MpIixz6vhhTM2tKFeu3BshqZCgQE6fOkVgUIgiQ1dXj4rVq1OqaGHCgl9w9Php6jdsSD4zM2WH0bUrl5S6L7Xr1ElOTo6N5eK5M9y9/1CpWSeOzyhXoQLly5dTDo4Vtva5fIEb/z5QtpbbFrRRPCOH9u8hLDKOJk2+VHJtlFoxqnhuXrvK5avXQU2D8hXKoZYQS2h4HPUa1CU+NopjR46gb2jKs2dPiY6JRVtXl1q1alGooDizTgPfuze5dPUGTZp9pRCs6MhILl44h+/Dx8nF+9Q1KGNnp9TRyc1nPElCkzVTkSQ0WYOrlCoRyHFCE/DCXzmfSCx41tbWyk92tDxBaLIDCNmHRCANBCShyZqhIQlN1uAqpUoEcpzQ5JQJJKHJKeRlv3kFAUlossZSktBkDa5SqkRAEhqX4YSFhdGyZUulfouhkZEcFRIBiYDctp1lY0ASmiyDVgqWCLyLQHYmBecU/tJDk1PIy37zCgLSQ5M1lrp86RKzZ81CXU2d/oMGUq1aNVkpOGugllIlAii7QtauWUOpkiWpXbdumi9bXsZKEpq8bD2pe3YgIAlN1qAs8gVjYkR5g+SaTSn1klLrTVYKzhobSKn/IQQkofkPGVs+qkQgDQQkocm6oSFKE4iWXmFFSWiyzgZS8n8EAUlo/iOGlo8pEXgPApLQ5PzwkIQm520gNcjjCGQnoRHuV/EjzufR0Egud58dTYacsgPlzOtDjBFhs/e55z+1t6TERKXonfhqTu/L+VP7ygv3S0KT81aShCbnbSA1yOMIZCehuXTxAvv371fO7GnQsLFSQC07miQ02YFy5vQhbHXz6mX2HD2Jw8D+St7BpzZBkERRu1fEJSmJRw/ucfuuLzXr1MLQwOBTu0j3fhF2CAkOIjQ0TKmOrDQ1NeVQTysrq2wj92kpKglNuibM8gskoclyiGUHnzsC2UloNm5Yz3Tv6URFRTPIfjADBg7MFnglockWmDOlE3E205H9e5mzYhXrV/+Gnp7uJ8kVlXt/X/kLtRo1oaKoBKymplQgXjnHm13H/mbSVG/KlC75SX1k5GZxjtWKhfPY+NdOcSKncosgWSXL2uExwQMrcd5VDjZJaHIQ/JddS0KT8zaQGuRxBLKT0PxXT9sWX+SCVIn/igX19VCb+F3K71OuEwvd22Xylb8p4brkE6pf/3uKByIpSfSRvFCKfsS/Rfn9ZGeACK0oZ0S+XNQT3/FaKHI0NN4JwQjdU2SkhGpe93ikPEPKqyD+/frfU5495fepPttLfIT8owf2MmvZKv5cswp9fT0Fu5STuUUfr/f3uizxe/EM4llTfh/w4jnOg/rRpnN3vvv++1enXvs/e8Jjv2fY2ZV7ddbU++wkwqQJCcmYKf0LnVKxU1rTgTiDa9HsWdiWKEOLr79GQzMZZyFPeKFy+lgESWhyfiLPA4RGTFb/ByrXxWrFi/m6HcWkl/N2fUeDVy7aDGSKZ5f6r+v0crbPldilh4ckNOkh9Ol/j44M4/ff1xAUFIJNoUJ06NABXV1dZWGMDA/n7zN/U6d+PU4d3sv5KzeoVqc+TRrUR0Mj+UtetIf377Bhw0blxOw69etSt07yFvu42Gh+XbyM1p07cfHsKe76+tGxcyfyW1jw4LYPG7fsRE1NnZ+6d+eGjw/Fy5TGUE+PHTt20LjpV8qZRMr5TRHh/L58BfWat6CcXdlXpCYxIZ79+/ZhY1uUorYF+WvzZgKCw+jQqQMFCxZUdIuNjmTb1s3YFimLsaEG+w4c4tsfOlGycCHl7/f+vcbmv3ahildRo1ZtmjRp/MYCHhcXy7atW7h794GCQ2xYMLOXC0KzWiE027f8iXn+QtSqXVN55vDQELZt3UrlGjUpX67cK4zu3/mXzZs2g5YO37RtRwkbK+ZPncbW3TsoWaY8JUqUoNGXjalTpw53b17h+KnztO/YERMTE0VGaFAA69atJyg4FBNTc3r3+RkdHV2FBYYFP2XDxj382K0TJ48d5Z/LPlSoWZuvGtZTzpBKrwlCs3j2bIrZlefb775T8oNyU5OEJuetkYsJTSK3LxxmpIsnkdq6aGklD3gNDS069HHgx1ZNcxQ9VWwU6yaNY/mh8xgY6isH3IEa+hYFWbZgJsaGWR9TTg+AxIRY/vplNovW7UNLW+eljqBmVpAJ7uOpXDJ5Ms3uJk4AvvfPYYYPm0SkljZami8nM3VNOvYexE9tWmS3Sp/UnyQ0nwTfe28WhOXhvTvMmDoZdPSxNLfgms8VypSvzLhxYxTS4HvvNitXLEeDJJ6HRJEQF4PvYz/mLlhA6ZIllHyjI/v38euq1ZQsUxZVXCz/XLyIvZMLzZs3w+/Bv/Ts60ClMiW5cecuRmYWTJw6iQh/P6ZMm4FNIVsiQkMIjYjCyNiIEaNGYaynw/ixbnTp0YuGDRsoety+fpW+/QYzfe4cqlet8orQJMTHMGXSRGLjE4kIDiBJQ4eosEACwmIYPXYMVatUITIskDHDXUHDiAf3bhEVn8iIse40qleTPX9tYNUfGylWvKRyiOU/589RpUYdBjsMUk4UDw0OYOakyVz0uUG5CuUVvAwMjfANCOWvP9cpIadxw52wLlqavv36Kd6M536PGTViBC1/6ESHNq2UAzuP79/GwmVrKFq8hIJhSFQMrsNcmDzSmSt3HqGnr4+enj69+vSlc+eOnDy0nSUr1jF1xgwKFyrEtUvnmDNnLhExKuzK2XHt0j8Y57NkxOhRFCtahBePbjLQwYN6tcvh+8Rf0cPH5zq9BgyibevvlJO+39cUQjNrFgVLCg9Ni1e5QeLAzexKjn+ffpLQZM08IA5z9ZrgobxPw0eOolbt2nmwsF5SApeP/8XwobMZOMGdejUrvsqm19M3RF9PJ2vQy6DUuOgwFroOZf+9SGbOm4S5afJJvurqmpiaGue4+1PokqCK4vc57mw9fpfJ06Zikc80+enUNTA2MkQ7E5IFMwjXG5clJqi4fnIrDg6zGTZjEjUrp3whqqFvYID+J8b8P0anT7lHEppPQe/990ZHhDFv5nQiEzVxsB+Enq4uW9atYsehk6z+7VflPTt1YAvuE+fSscuPdOzckSf3bjN+nDv9hgjC0oRrF/9m4qRp/NirH82aNCI8LBj3MWMoVbkGg/v35e9jB3EdNZ7mLVryc4/umJvnIyzQH3c3N6o1aMpPP3ZGkPBNa1Zy6PjfzJgzDz1tDTzdxlCpbmO6duqgPMS2DatZ/ecO5sybg+1Lz4vyHsbH4Ok+nqMnz+Ho5ETTJo0JevGcCePGopfPmmneU1BFhzHCxRHfp6GMHDUSOzs7jIyMuHv9EqPHuCvE48fOHdDS1OTk4f3MnDWXPoOH0KbVdxzdvwu38V4MH+tG0y8b8ej+HebMmMmtp0Fs37RBITSjne2xLlaaAQMGKiduP3v8iGGuLnzbvjOd27fj1rVLDHVypXX7jvz4Y1dITOTu3TvkL1iI2PBQhjnZ890PXZQjL4yMjRXycWjPRhYt/4Pps2ZjYqCL1zg3QlSaeLiPJb+5Of5PHzPJy1P5yJs8YRyBfrfp3msIdeo3pn//PsocPmeKBw8DopjmPQ2LdHJgBKFZMGM6F31uYW1j/arQWpsfOlCtauU3vHFZNyLTliwJTdagLo4+cBhsr7zrU72n0aRp0zS9c7nXQ/OS0IxwmYfrDG+a1K+a5SThnRDIa/Z5O9SVQmgO+cayfNV8LPOZ5rpwSQqh2XHalwWLF5HfIl/WjLgPlKoQmhNbcRgyB89l86hbszL/Dwx8oLBccLkkNFlkhKQkLpw5xsSJ0+jSvSeGutr4BwZyYO9uqtVugIPDIMRYmjCkB1iWxtnZCVNTU25e+YexY8bh4uZO9coVmTV1Ihcu38LBcTAvnvvzyPcOh46eYqjrMOrVrcXaX5aybstOZs+dS6mSJZR5ZtPaVaz4fT1Lly2loI2Nkkuzb9smdu4/xuRp09DSUOOPJbN5HJbEyFHDiAgJwr5vf5p8346uXTsq4bCUJgjNBI/xhMepMWG8m7IjKD4uhq1/rGTt5v2sWLkCTbV4RroOJb9tacaMGa1M2CLf5/cVi9i25zAz5symiK2tsoj7P/VjnPB6lK2I81B7fl0wnd837WXDls1YWVoSHxfHvh1/sWDVOjau/T1DhGbXlvUsWLwC71lzKFfOTgkRJb6M9QcHBWDfpwftu/WiTdu2ytexwOPgrj9fEZrwwGe4uXnQz3EoXzdrmhzKExW0Vy5n2W8b2LV7C1FBj+nZx5Gpc+ZRsZydkkOzd9t6Vq3bxvRZMyn0GglMbUSlEJqb9x5iW7gw6hoid0aHLl27YGtbKMe3jktCkzXzwOdxltNrhMbFeypfvkZoMj/5KwlVTDSP/J4RH696xyrGpmZYWlqgoYSVklsKoTn4IJZlv819RWhyU02GFEKz/bQv8xcueEVoclrH1wmNx5K51K1RCXWRbfly10LWvBZZJ1USmqzBVhUfz+qlC1m+eh1FixYVEV0MDAzpN2CAsujq6ekREeLPd9+1Y+TYsTRv3lxZSI/t38W0mXNZvHwFJoYGOA0cgO+zAKwLWJGQmEDhIiVwcXVS8j6SEuOZPtGdB37BzJ47RwnpiOTVmZM8eBYYgbvwMOjpER8fy68LZ+LrH4XHBHfUSOLs8b38tmEXs2ZOZ+/2Taxav43ly5YqcpND0MlN8dB4jCde04Bxo0cq3g3h8Tm8bxfz5i9j6cpf0NFMVAhN0TKVcXV1UUiVeP5Fc6Zz/vK/zJ43EzNTM0VeeHAQHuPcMLa0YcRwJxZMHc+2A2fZvnsnRoZGiF1Oh/ftfpUUnBEPzea1q1i5+g/mLlxIsWLF3jBoYIB/uoTG/9EDvCZ5M22mN2XL2inkQqWKZ9uf65k4dR57D2wnPvw5vfo6MmfJMkoVL64QmoO7t7D81/V4z5pFYdvkfKG0mpIUPGsWtqVeJgW/TL4W27ZT1oTY2BiSEpPQ0tZ+M2E7a4boG1IlockakD8rQuM4yBOrcnZYmJsqiXk6psXxGDcIw9e+gD4ZxqQkIp75Mnfpr0qc/O1WvnodurZvjeZrCYYKoXFxYs2Z61SuWlGZpMRLXLtJazq1aZKhJLdP1jsdAQqhmT2eZZtOYleuPDo6yTHqBk2/pm2rlmhr5UxSnSA0105sYbD9ZApWKIe5mbGCnYFFWUYO642poX5WQ5Op56RfKAAAIABJREFU8iWhyVQ4XwmLi41lnvcUrj94ypxZ3sqOGDFOxAKWkjNx59oleg8YgvfMmdSsUV25d+Pa1WzZtZ9FC+cTGxWCwwAHvu/8E62/+/rlrhiNV1uZRejHaWB/SnxRj9EjnZS8jMREFeNHDkfbwILhI12U/h7eu81IZ2fqNGmBwxB7xYPx7w0fxoydwIQJY5jq5UW1ek0ZOLDvO+7wFA9NZIImnuPdlLCZKj6WTauXsWH7EZb9shxN4t4lNKp4fl0yn90HTypky7ZQcs5bgP8zxo4YQYlylXEaMoAlsyayYcdRNm7doiQyCyJxaPdO5vzyu5IUrBAaFwfy2RRjiIODMg/4PXrAMBcXvu/4oxJy2rl5HQuXrGTmvHmUKV36gwlNyAs/xrlNYJDLML5u1iSZ0MTHsebXFaxYtZEdOzcTGfgwdUKzcj3eszNGaNJKChYeo7vXfdi5Zy/h4RFExcTRvMW3NGpcL9s8N5LQZM088FkRGqfBkyjXqAGFC1qhpq5BQbuqtG/ZEJ238j/EToJDq5aiUboGDetUIyw0BA0tPYwzuDgK964YkMlVWN9sWjo6yqSW4kUQf00hNBsu3KV5yybo6+qgpq5Jg69bUaNCKaL9fZkweyVDRg6nkOmnJwgnxgQwf8ZMrt7zT3XUaGnp0X2oAzVLlXr1dZhCaH7ddpZGX36pfGmKz9zaDZtQt1bVNwjaRw/FhBi2/r6S3UfPk/jSy/K6LPHlVKNuQ/r07Pbq1/8nNFOp3LQRBQtYKmS1aMVafNekDvq6708O/Ghds+hGSWiyBlhVXBwrFs7l8JmLLFq8EFMTE2WxDg0JIZ+5hbJQHdm3g6nT5zF/0SJKliyh1EeZP2Maz4IjcXMbS2x0OE6DBlOpdn2G2A9S8ixioqKIiYvHxNgY37s3GTTQEa8Z06lSqZLyVS9kTHQbw4uwGCZN8iQ0JIgZU705/89FBto70aVLR+WB/R75Yj9wEFY21qCujaeXZ6p5IAqhcR/HoaNnsHd05LtvWvDi6WPGjByNbemKuI8bTVx06DuERngwLp4+ipv7RNp06kK3H7sqCfQHd+9gztxFuIwaTZPGDdi7fTOek2bgMXEiXzZuxL/XLjF92lQeBMWwY/OfCqGZ4j6Gq7cfMmnKJKVey+/LF/Lrmk04DBuuEJpr/5zF0dGVtp260KNHd0hM4NyFcxQtWRZDHS2GDu5L3abf0KdXL9TUxJZyDQ7t/n8Ojb6WBh5uY4hBBw9PD2wKWPHw/l0mT5hA8fJVcXYaTKDfv5lCaIqWFbucvn2DOMbHRjGwRw86/NwLK4t8rPltNc6jx2AjbJNNTRKarAH6syI0w53nMnTqJBrVraJMNqLGg6aGplIPQtRWCHnii465lZJg9vjmFdRNCmBdwIwNG5ZhXLgR39StpKCcEB/N06f+GFsUwFj/7YTiJGJDA9h3+ASR0THvWKVIyTLUqFYFzbdDTi5DOfAghkUrZmJpZoLYsK2prYWGcBdHhXH84i3q1KyMrrYWSQkJBAcFoW1giIGuNqHBwSRoaJPP1PhV7o1Y6AOf+2NsafkOYUuKj+DsmbM8DwwnKZV94Zqa2lSsUY1ClpaviFdKyGnbyQfMnjcHS/Nkl7WmOLH05TZJ0ecLf390DE0xNUrfM+Lv9xRTS4v/JxQnxnPjyiXu3H9C4mv4pIAojnwvWKgwVat+8QahScmhcVswkzrVKyoYaGpqJdeWEE7/BBWh/s9QNzRVEphzc8tOQrN54wZmzZilkO9+AwfQr/+AbIEmJwrriT59Lp5l8qSpGFtYYmpiquRuFC5ajD59eite0d+WzGPr7kMsXraMAlb5iYkMxWPUMIpVqk2vHt2VPJRfFi9g287d2FWopIz7BFU837dtR906tbhw5iRTp89l5W+/YPoypCMA/evPtcyZv5gKFSsREx2FVYF8nDp+jjEenjT5Mrk6c3CAPwP79SMsKg53zwlUrVolVc9sCqG5dvs+JjraGBibEBocCBo6uI4YQYXy5YgIDWCEi9MbISfRh9h9tGr5Mv7asYsixUugq63Nwwf3qd+4Gd1/7oaJiTH+fo+ZMcWLa7cfYVeuLAEv/LEwM+Hq/SdsXrdW2bZ9+ugBPL2mYGKeHxvr/MRFx/D4ySM6/dxbITQxUZGsW7mUDVt3UbRkKdQTVYTFJuLmPg4bCzOWzZ/DwWOnld1LjRo3onmLrzm6b/OrHBoRLjpz7AizZs1F08CIwgVt8L17myLFSzPE2QnrAvnxf3jjE0NOUSyZM5MLV29QwNpGmefU1NWwsi5I5y4dmeU2nKJV6lEovxk+128zdJjLG7lMWf2iSEKTNQh/VoTmfUnBxw/s5vLRIxiXr8YP33/LvdOH0ShYEp2EIJb8thrdfGVp830LChlrcuzIPv658YBCJSvRuX0bTI0N3ijjHfroJqM9phEQGvFGXRmxuNZt9j2D+3Z7N+TkOpS0koJjQwJYs2kfHbq2xefEYXz9Q7hz/TLq5oWoVbYY506fRGVsRd9ePTDVho0bN6KhocMNn8vkL1KC1l1/xMbU6A2v0IcOl/SSgiMCn7Jn3yHu3ruBrlkRmrdojrWxGoeOnKVuk6Y8vHSKSIOC1K9egdNb1xCapMfZs2exsLHl+x86UMxW1N/4UK3Ex9/7k4LjY8M5vmc3PucvYlq+Kp3atUl3S+eHa5F5d2QnofF9cI/r13xQqVSUKWNH6bJ2mfcg75GUE4RGWdDj47lz4yqnzl5UtNPV1aNBw4ZK/RZ1dbj490n8/IOVQmti905sVDhHDx2gSKnylC5dSrknOipKyVd5Fhiq/NvC0krZri0I0aOHD7h+8xZNmzZT7k9pkeEhHDhwkIDAEMpXKM+1M8fZuv+4skW5XNlSSsjpmd9Dhjo60+irlvTs0f1VSPdtGFNCTrHo0OvH9pw7d5HEJA0aN2mMTcGCygdQXEwUx44extjMkho1arwRJomJjub82dP8e+e+UnendOmyVK9RTckhEk3YJiI8jH179hAWEUmpsnYUsSnAhSvX+O6br5UwmkgUvnj2b67fuq2E7ho3+ZJ/b1zHtlgJ7MqUVuRGRUVy8vBhHj17rpwTVrlKNSpUsFM+JKOjIti7aw/BYeGKfuXLl1OSq6/43KRh4y8V75mw1ZNHvhw/doI4lQoDA2O+btlcySkS00REWAB79h6mSfPmmJmaQlKisuVekI+GjRthbGT03rEscoOuXf2Hfy75oEopkKimRj5LS+rUrM4Yx8HYlimPoZEpX7f8FrtyZbJ8I8nrCktCkzVT0X+G0Mya6knrTt3R0tLE0syMndPd0KnWjHp1KvH76sXoF6rPd/UqsOd/7J0FXFdXG8e/dJeIYoEFFnYHdjs3fY3ZU2cHqNioIBKC3TpzbU232Z2YM2fOVhSV7ub/fs5VN91AQWnO+Xzez7uNe098z7n/+7vPec7zbFxLtHFpPm/dmNOHD0CpqnRuUP2ds+xJCXEEBAQpD+K/i6GRCWbCkvLW2/tDp5wiHv9FnxFurPx+Cb8u8OSJypS+3dqxZsUyEg2LMahvVy4e24tBzTa0Ll2AEcOGU635F3Tt2Izf160g0sqecf0/Q/cT/FzeK2hUyRzZspZTz5Lo2bkdj25c5PLdIPr37MC6eV5olKrOwyuX+GrsBOysCrN8RA+KdPiampXLsnPFXPSrt6F/j87/xJBJx1r+kKCJenad6bNX8vXw0RQ0M8K0gLAICavcR6indPTrYy/NSkHzsX381PuyS9B8ar8/5n4lTtK9e5iZF1R+I+JiInGbPgNdk4LMdHPBQF9fCUwnrBbBscmMdxr76qWdyvp8xyl4yiRFOOXUtfwxvHLCPdGRYbhNmUB0shYFCxakeKnSdOvaBSPDrLPuSkGTOSshbwgakrlxZg/OkxbRtFtXyttYvzIxqqljVcYW29JWfLvEh/taVnSsXZ4K5cuyZ64LurVa0q5dE374fjnGJZvRqooV81ymYGpnT107Gx7cucYjHWvGd2v5SY67CbERrJ/hzI7rz+k/qBdGBvrKV4iGti716tUl6eWjvwXNb/O8MK1sz/8+s2e+lwc6ZRvg0KcDJ3dt5HSMJSOaVlDO2X893hX7elU5smUd2849w91tIqb6H5+HJSkxhq2rfNhy6Bo9e/fC2Oi1L4+GDlWrVGTL6oVEG1rTuE4V/B/f597TAIYNH8qjP0/g5DST5v1GM6Z/F9RUKtY6fkUHt0VYmphy+bdVHHqmhePQAei+djROz1IW2wB/ndvNhAmLade3B2VLvjlyqYZVGRtKFNJjw7yFPLOoRJcGdpSvWFExtedQPfPqeOqPP2JTtiz1GryKPpvXSn4SNInxMSye58PxU38olgBh4TAvaMEIB0eqV7FTtrFOHN7P2g3fKsHvKpZ/vyUgKTGOubNnk6RtwPgxjmhrf3qyyLy2vj51PCEBz+ndpx9TZ7hQpqQVq1cswbZWU3p0av+pVaf5filo0owqXRfmEUGjIizgORfOXyA66VX+FlGEM1qpchUpX8aa8JBA/J74seunb6ndbyQBW1ag91rQfLdhCUYlmtK2VmnmuU6icM22tGpYUxFEeiZmFDZ792hluggLM29iAo9vXOHPh/7vHNHU1DWgsX0DEl+8K2jMqjamS4fGzPNyR8emAY6923N850ZORRdiZLNKjBoxkj6O02nZqAa7vl3Ckb9imekyBqNPCDInvjSf3L3JjbuPSHqdj0aMU6WlT63qdmxbu4i4AjZ0bNFIGb4IWFjQ3ISTW7/lt3M3UTcrjvdURzTU1Fjt0JdWMxZhZW7KiQ1zuRJfiJFD+qPzET/Owg8iMvA55/+4THTiq7wxSr/U1ClbriI2JYsTFR6Kn99jDvyykcq9R9PUpvgnbb+ld37Tc70UNOmhlfOvFesz4MULHty/R0houJJqoUiRIpgVKKB8BCUkxHPjzz9BQ1MJgPf2VlVKoxP13bp2DXVtHcqWLZsnBW92z2rQy+c4Dh5CdfsmmJkY8eD+Q3r1H0CFcq+2HbOiSEGTOZT/OH+OWTNnIPwxJ0yaSt369XNhpOA0sDm88zdiVHD6wB46jpjIk60r0a/ZgjZtmrL1u1VcfxLHFx3bEnD1GMdvPKOhfUMS4hOoUrMWpUoUy1Szb8STO3w1yp1l3y5i50IfTCs3onP7Rizw9kK3bH1G9Wz32kJTmGFNKjB82HDMS5ajWaM6HD54gI5fT6BZjbJoZdbXviqZCwd/54fth2jYohna6uoYFiyGXUlzFs9fQsf+X7P/2+XYNP0fnVvbs3xYV4LL1qNaGSt2/foLXwyZSIem9TLmpNS/5jri2UP2Hj2DvoEWl0+fpMnX42hQRvhM5Mzwe1LQpOFhlZdIAplIQFgQn9y/z5Vr14iLT6RW7VpYWZXIUvEoBU3mTLDwIQsIeKG8r03NzJVYUalt2ebcSMFpYHPywG7u+r3AolhJmjasi9/lc2gVsaJkqVL4P7jLidPnsK5QlWo2JTh/6hj3ngZiaGymHGEuWMAkU7/448ND2Hf0LM1aN+XuhfPoFSxK2dLFuXj+nHISq0aF0jx9cJun8bpUMNNixLBhtP2iCwkqNYqXsaF5o9RVaBrQpOkS4Yh45awv1+89QUNbjzr16lNALZhrAWo0qlWZgHvXufk8koZ1arDWoR/Wn3cjKCga8xJlaN6wjnJUPTNKTEQIpw4e5HFIBJbFS9G0SUNlaytnetAgt5wyYxHIOiWBdBP4J5FxdvgoSUGT7gnL8BtytaAR8SKU6NwihbyamuKp/yYKrjDzioiR4iiEcgxY/PvrtNjiSz/TF/zr0OGv4lokv+6XOJGgdFjZphL9FX2KCnjGGEdHBoyZRv3alZXxiJMPmV5e9/FNygexHSd2fxSOon2lfyrlyPl6p0G0mzGXwmZmyradwjCTOviKy6v/KXObiW1lxBCkhSYjKMo6JIHcTUAKmuyfv1wtaLIfX8b0QETUDA4MxNDETIkZkdOKcIIMC3iBoUWhVzGAcloHs7k/WSlohDh+E/xRCL2sckDOT07B2bycZPO5lIAUNNk/cVLQZP8c/J0ILrtzLL0PhbCGCaesHHvUKBvnMSsFzflz59i9e7fiC9aiZQuaNW+eJSOXgiZLMMtGcjEBKWiyf/KkoMn+OZA9yOUEslLQbNm0ER/vOURHRzNy9ChGjByZJfSkoMkSzLKRXExACprsnzwpaLJ/DmQPcjmBrBQ0mzf+jPdsH0XQjHJwYOQoKWhy+fKR3c8jBKSgyf6JlIIm++dA9iCXE5CCJpdPoOy+JJABBKSgyQCIKVQRFxdHaGio8hdTU1MlUXRqRQqazJkDWWs+IiAFTT6abDlUSSAVAlLQZM7SOHv2LDOmTVdOMk+d5kyDhg3zZmC9zMEna5UE0kdACpr08ZJXSwJ5kYAUNJkzq3kk9UHmwJG1SgIZTUAKmowmKuuTBHIfASloMmfOpKDJHK6yVkkgRQJS0MiFIQlIAlLQZM4akIImc7jKWiUBKWicJhIeHk67du1wc5+FoZGRXBWSgCQASEGTOctACprM4SprlQSkoJGCRj4FkkCKBKSgyZyFIQVN5nCVtUoCOULQ+HiLODQxjBw9WsahkWtSEsghBKSgyZyJkIImc7jKWiWBbBc0t25c4+yZsyQmJlC9Zi1q1KyVJbMiIwVnCWbZSC4mIAVN5kyeFDSZw1XWKglku6BRMpCLTORKknm1zM8a/3rEUtDIxS8JvJ+AFDSZs0KkoMkcrrJWSSDbBU12TYEUNNlFXrabWwhIQZM5MyUFTeZwlbVKAlLQvHYKbtO2Da6urhgaGcpVkUEEhPUtKSlZsb5lVlED1DXUlairsmQsASFoXGe4cuDAAYoXL86SZUsoU9YmYxvJh7WdPnWKqZMmo6auxgxXVxrZ26OpqZkiiSxPfTDPyw0Hp0no6Orlw6mRQ86LBEQcmo0//4SNjS31GzRINSx3bh77vy00NjZladqk8XvzquTm8WZH34WgiYyKylRBI8ZloK+HhrpGdgwxT7eZkJDAkaPHuH//PiVKWElBk0GzHRIczM3r1xRBU7asLeYWFqirq+cMQeM505n69RugqamVQcOV1UgC2UsgMTGRS5ev0Kxla2rVrpPqw5a9vfy01v8taD6tNnm3JJB3CQjftpIlS0pBkw1TnKUWmqSkJJ77P0O8AGSRBPIaAQuLQujp62eZo25W8hPWg3NnTuHmOpOIiIisbDrftCW2m0JCwxCsNTQ00NXVQV09Y7aG4uMTEZZEUbepqTFaqZjs8w3sTByoEDQlSpTA3Ws2JUuVysSWZNX/JpClgkY0Lh4o5aSGLJJAHiOQNaeOxPOjPEninFOWiSfxzIaHhfLwwX0S5AdJxq9csd0UHso4p0nExMRiZ1eJocOHoaWVMZbsk8ePsXHjFqXfs2bNpLhViYwfg6xRISAkqK6uHqXLlkVPT19SyUICWS5osnBssilJIM8RiAgLIiTwOarkZEwLFMbEvFCWj1F+kGQO8tDgl7Ru1Z6oqCjs7e1ZtGQxOrq6GdLYlo0/4eExW6lr05YtlCtfLkPqlZWkTEB83MiS9QSkoMl65rJFSeCjCWzbupl5c+crX/HDRgxnyNChH12XvDEnEVAREvSWoGncmEWLF6Gr9+mHJ4QA3brpZ9zdvV4Jmq1bKF++fE4avOyLJJAhBKSgyRCMshJJIGsIbN74M96zReqDaEY5OGRZ6oOsGV1+bkUKmvw8+3LsGUNACpqM4ShrkQSyhIAUNFmCORsakYImG6DLJnMBAWFhFKle1FBDXUPjvadIpaDJBRMquygJvCEgBU1eXQtS0OTVmZXj+jQCjx7cY9eO7Yqgad2uI6XKlM0ZcWg+bVjybklAEpCCJq+uASlo8urMynF9GoETx48zxsFRCWHg5e1N02bNckak4E8blrxbEpAEpKDJq2sg6wTN5q3ilJN0Cs6rKymvjSvH5nLKa6DleCSBrCYgBU1WE8+q9qSgySrSsp3cRUAKmtw1X7K3kkCaCUhBk2ZUuexCKWhy2YTJ7mYRASlosgi0bEYSyGoCUtBkNfGsak8KmqwiLdvJXQSkoMld8yV7KwmkmYAUNGlGlcsulIIml02Y7G4WEZCCJotAy2Ykgawm8PTpUx7ev09iUhLW1tYy+V1WT0CmtScFTaahlRXnagJS0OTq6ZOdlwQkgfxHQAqa/DfncsRpISAFTVooyWskAUlAEsgxBKSgyTFTITuSowhIQZOjpkN2RhKQBCSBDxGQguZDhOTf8ycB35MncRo7TokO7OHlSeMmTdDQ0EgRhkx9kD/XiBy1JCAJ5CgCUtDkqOmQnckxBOLj4wkNDUVNTQ0DfX309PWVf06pSEGTY6ZNdkQSkATyLwEpaPLv3MuRf4hAcnKycokQMqmJGeXvKpHKUhZJQBKQBCSBbCQgBU02wpdN5xECUtDkkYmUw8gfBMT3x5tvkA99reQPInlllFLQ5JWZlOPIPgJS0GQfe9myJJBuAg/u3+PqlSskJSVSsZId5StUTHcd8obMJ6BKTiY5XcZvFaHBAbRt04GoqGjsGzdm0eJF6OrpfXJnhQDeuuln3N29FDG8actmbMuVS1e9QjwLp0xZJIGcTEAKmpw8O7JvksC/CGzdvIl5c+cTHRPN8BEjGTZ8mGSUwwgI0fDw7i1OnjhJYnJS2nqnUhEZGcnadd8jnCAzS9AkJSXRu/eXWFoWTlu/AHU1dcqWLU2d+vZoaeuk+T55oSSQ1QSkoMlq4rI9SeATCMjUB58AL8tuVREfF8c3K1ewadMWoqKiSIuxRqVKJj4+QellZgkaIZa0tbVQV0/52Ou/EQmrTJUqdsx0c6O4lbW00mTZGpINfQwBKWg+hpq8RxLIJgJS0GQT+I9oNiYmiu82bGDVym+IiYlNcw1ieyczBU1aOyL6UbVKJVxmzsS2fEUpZtIKTl6XbQSkoMk29LJhSSD9BKSgST+z7LpDbD3FxERz/OgR5njPwf/5C8WHpXSpknw1YAAFzM1TFglqapgXMMeusl2qAcTSO6anT/24e+cuYsvp30Ucc42Jjub3X3/h1KlzyjV6enp89ll7ho8cgUUhSzQ1NdPbpLxeEsgQAvfu3GHr5o2oocYXXbpgY1suVXEtBU2GIJeVSAJZQ0AKmqzhnJGtxMXGcvzoYebMmceTJ36KOGhQvw7TXFwpUqSoCK7xn+bEVk9GnmITTspJr2N5/LuxyIhw1q9bx3fffk9cXBy6urr06dubwUOGYGBoJC0zGbkYZF3pJnDi+AnGODqirqaGl/dsmjZrlqrAloIm3XjlDZJA9hGQgib72H9Ky7GxMZw7e5aF8xdy69YttLS0qFmrJhMmjKN8xcrvDRb2Ke1+6N7goACWLFzEnr37CQ8Px9BQn8GDB9GtRy9MTEyyrV8f6rf8e/4hIHM55Z+5liPNZwSkoMm9Ey4ccm/fuo6Plw+XLl9RLB/lytkwffp0ylWsiI6ObpYNTmx9BQQEsGLpYn77badimSlQwIx+/XrTo1cfDI2MpZjJstmQDb2PgBQ0cn1IAnmUgBQ0uXtiExMTuXfnLxbMn4+v72nFp8aycCFGjh5Jp85dUMuCWC+izdu3brB44WLOnj1HTEwMpUuXYuKkCdSsXQcDA8PcDVn2Pk8RkIImT02nHIwk8A8BKWhy/2oQQRGfPvHDx8ebE8dPKkEShS/NaIdRtG3XDu1MtNQIh9+HD+7j6e7OH39cJDExgQrlbBk/aRI1atVCW8aZyf0LLI+NQAqaPDahcjiSwBsCUtDkjbUghEVgQACrVizll19+Q1huzExNGfh1f/r064+2TuYEsLv4xznc3WZx994Dpc1aNaszzcWFUqVLo6WlnTfgylHkKQJS0OSp6ZSDkQT+IeB74hjbtv1CfGwc7T/rSLsOn0k8uZRAcnISwUFBbPzxe374cSPh4RGYmxegR4/uih+LecGCGTYyIaAuX7rIwvkLuHz5irLVVb58eaZOm0LVajUy7Hh4hnVYViQJvCYgBY1cCpJAHiUgTsvERMeQrEpGT08ffX39PDrS/DEsISyiIiPZsnkTy5YuIzb21bHpps2aKNF59Q0MP9k5V4iZ37b9wurVaxHxaETU4nbtWjNk2AisrK3R1paWmfyx2nLnKKWgyZ3zJnstCUgC+ZCAEDVCqP7+63bWrV3H48d+SnqC9h3aMmLkaIoXL/FRzsKi3ojwcHb8uo1V36whMDAIIyNDWrZswZixYzG3KCRjzOTD9ZbbhiwFTW6bMdlfSUASyNcEhPhITEjg5IljeHp48eyZvxI8rHmzxjiOc8LKumS6xYcI6Ldq5QolYJ44yaShoUHXbl1wHDMWYxljJl+vt9w0+OPHj+M4ahRqaup4z/GhWfPmMrBebppA2VdJQBLInwREPJjLly4wd85cbly/iYaGOtVrVGf8+AlUtEtbKgQhjsLDwvjxh+/YsP5bIiIiFcvMlz2606//AMzNC6ZbHOXP2ZCjzgkE/J485tCB/airq9HQvgklS5ZCXSPl5KoyUnBOmDHZB0lAEpAEXhMQWbcfPXjI5InjuXb9luLAW6pUSVxdZ1C9Zm003pNXKTk5mef+z1iycAH79h9SAuZZFDTHafw4WrVph46u7if75MiJkgRyKgEpaHLqzMh+SQKSQL4lII5U3797h6VLlnDk6DGSk5IpX96WAQP707b9Z2hqav2HjRAzImDekkVLOHHiJOLfy5QpzTinsdSt3wBdXT0pZvLtisofA5eCJn/MsxylJCAJ5DICwjLz8rk/c7y92X/gkBI3xtTURLG2dPy80zuxasS1jx89wGX6DCVgnhAzlpaFmL9gPlWq1ZBbTLls7mV3P46AFDQfx03eJQlkC4HAwECe+vkpL6wiRYtiaWmZLf2QjWYNATHPL1+84JtVK/l126/ExcdTsKA5/fv3o3uPnko2bHF1TfC3AAAgAElEQVTN3ds3WDB/ASdOngZU2JQty1insdRr0Egey86aqZKt5AACUtDkgEmQXZAE0krgly2bmTd3HtHRMQwfOYKhw4al9VZ5XS4lIARLYGAA3yxfxm+/71TmXk9Pj8GDBtKtRw9u3LjBPJ/Z3Lv/GBUqataozmiH0VSpWh1NLS25zZRL5112O/0EpKBJPzN5hySQbQSyKvWB2MIQL1LhoJqcrFLGK/7bpxZNDY0POrWK48uf3tK7PRUnJN4X2l+MLUG0mwFjfLtldTW194qKtLYrrosMD+f0qWNMnz4LkbnbwMCAYsWKEhwcQlBQEKhBq1YtcRwzBkvLIujqCQdg9VSnTIxXzHFGFjVQxisyiadWRO6qxMSkjGxWqUsccxdH01MrIjJzQkJihrerpqamrBvx/6KI/xfjF/97898yvFFZYYoEpKCRC0MSyEUEskLQiISF+/bs4fatW7x4/pyAoEAS4+NfRSj+hBegeNn06tuXzz7/ItU4ElcuXVRO6ISEhGborNhVqYzrLI8UXzCKr8oLf1ycnQkICMywdsXrrXCRwvjMm4+BoXGK9QYHBeA8aZLS7gfFlEpFXHwcz/xfEBMb9/rFKV6mKPMiXqCFLMwxNTGmoLk5rrNmUbSEdYpjjouNYenCBZw6JbaoMq4YGxsxYeJ4KlapkWKlSYmJHNi7k3VrNyAiGGdUEWOf4DSSWg1bpiimhDA/c/KEkuU8KSnjRJzQMObmZoSGhKGlo4OmljbGxiZUqWJH1+49MDUzy6gh5tt63nxcCQAfEolS0OTbZSIHnhsJZIWgEUd9Z7k4s3PXfsUR9YMv2jSCFF/QDo6O9P2qX6p+Hb4njjN1ijPCVygjS926dVm7YX2qgsbvySMGfDUAf//nGdks1tZW/LTxJ0zNzFOs98Vzf77q0xe/p8/SxllYzt5jRRIvWGGVsbAwZ/36tZQsY5vimGOiI3GePIV9+w9m6HgLFDBl/jxvatdvnGK9wiq05ecf8PaZr6ytjCoiXs8CHzeate2UYowSVXIyB/buZvyEyRkqpET/tbS0FOvemyJeurVr1cB77lwsChXOqCHm23ru3rnDli1blPH/r0sXbGxsUrUASkGTb5eJHHhuJJARguaNQEnNHC6+ok+fOMQMV0+MjQwxNDJGT18PHW1tdHVE3p9XpvX0FmGhadu+A/ZNmqRqobl98yabfv6J8PDw9Fb/3uttbGwZMmJEqoImOCiQlcuWERISkmHtCr4FLQoy2nGMkpMppRIWGsKKpUsICgpOm6B5q5Kk5CQCA4MRVhE9Xd13qjc2NmbY8OFYWBZJcczxcbFs/vknJVFlRhZDI0P69O1NWduKKVYrtptO+x5nx287M1RYCBHRr8+XVKxWG3X1/247iTX/5+WL/PjDjxnarvIoqNSIj48jLiGB+Lh4IiPCqVzZDqeJkxSn7ZSKsKjFxcWio/MqLpDcmkp9FZ48cYJxY8YqIsbDy4umTZukum0tBU1GPs2yLkkgkwl8qqBJTkri+vU/MTI0xLpUmVRf8MKPJSwsVIl3ova3P8Ar/4CPkzMCjPBj0XqvT4n4ak+Ij1d8dzKyaGhqoaOjk2qVb14w4ks+44qaYi0QyR9T8ykR7Qp/GDEv4nRSeopwbXq11aSG8NV5uwgrjQiil1q74gUv2k1K/MeykJ62U7tWrBXhqySscSmVNykeEkS7GeqvpKZwFkEHUxMHYm3Fx8Wlm3NauIi5EGN7sz2ipaWpJI9Njf+Txw9ZvWoFTZo0U2IEiY8GWVImIHM5yZUhCeRRAh8taF77iWzdsoWdO3dTvUY1pru4KsHWZJEEJIGsIyC2p1YtX8K6dd+ir69PvXp1+XrwIGzLVXivU3PW9TBntSQFTc6aD9kbSSDDCHyMoBFm/gvnzzFt2gwCAwIV87hwGp0zxzNVX4cM67CsSBKQBN4hEB0VwaCBg7h9+7ZyBF9kVi9cqBBTp02lTr0GisiR5R8CUtDI1SAJ5FEC6RU0MdFR7N61i3Vr1/L4sZ/iiGltXYJu3boqp40KWxbJo6TksCSBnElAPIMBL59z/OgxfvllG7du3VKOsZsXMKNd+3YM+PprLIsUlX41r6dPCpqcuY5lrySBTyYgBI2Pt4/yZTdy9GhGjhqZYp1iLz8kJJhlixexZ89+wsLClC/B9u3bKhFmbW3Loasnc/t88oTICiSBjyQgfJiePfXjyOHDrF29hpDQUHR1dKlZuyZO452wtS2v+K/l9yIFTX5fAXL8eZbAuTOn2L1zpxICv2Wr1rRo1fo/YxVi5uGD+8yfOw9f31PExsYqAdj69OlJxy/+h6mZaYonQfIsNDkwSSDHElApHye+J46xetU3XL9xS3EkrlixAlOmTsauStUUE5Hm2OFkQsekoMkEqLJKSSAnEBAOhUrMC1WyEsRLnOx4uwgx8+zZU7w9PTl8+Khy6sLKqjjjnMZh36Tp38dEc8JYZB8kAUngFQERZPDxg7v4+Mzj5Elf5SRW2TJlFL+amrXr5uvkolLQyKdEEshgAm8i5L4vpHsGN5nu6oR4CXj5AlcXF06fOqNYZsqWKcVU56nUqF33vceW092YvEESkAQylIAQNU8eP8bby5OTJ08poQuqVq3CgkULKGhhmW9FjRQ0GbrMZGWSADx5dJ/z587R7rPPlfgSObFERUWybvU3rFu3QXH+tSlbGpeZM6lUWZitU44LkhPHIfskCeRXAuLD6bn/M+Z4+3DgwEHFMVhsFy9cvIhy5SvkS0dhEVjPacwYxZ/I3dOTps2apfp7JgPr5dcnR447XQRuXruKs7Mz3bt3p0v3HkqAuJxUxNHsHb9uU0zWwgG4dOmSeHh4UKFSZbT+tS2Vk/ot+yIJSALvEhCi5snjR3h7enD8hLDUqOj3VV/GjHPKl1bWp35+HDtySAkeWa9hI0pYWacar0cKGvk0SQJpIHDj2hWGDhmu/KC4urnSoKF9jjEBC9P0lYsXcXaexsOHj5Q+enq507pt+xzTxzQglpdIApLAawJi++nBvTtMnDCJW7duU6BAAcZPGEfHLzrny+B7QuS9nc08tYUiBY18hCSBNBAQgmbI4OGEhoZSpUol5sybS9FiVjnCBBwZHobbTFd2796nHM12dBhBjz798+XXXBqmUl4iCeQaAvv37GLyZGfFH66ktRVLly+jVJmyOeJ3JydClIImJ86K7FOOI/BG0AQHByv7t3Xr1MRxnBOV7Cpn64+LyE2z6ecfWbp0OZGRUdSvXxcvb28KWlgoWZdlkQQkgdxLIDI8nLVrvuH7738kLi6OTp07MXnKlFSTXubekWZMz6WgyRiOspY8TuBtQSP2tEXm6Dq1a7J42RIMDE2yTNQoyRvFsW1USnyKp08eM8bBgdt/3cXQ0IApzlPo1LmL3GrK4+tRDi9/EBC/NdFRkTiOHo2v72kMDPQZ6zSOXr37ZNlvTm4iLQVNbpot2ddsI/C2oHmT2Fg4BtepU4uZbrMoUqx4lvRt/97drFu7TjFBd//yS0JDQli58hsl63KXLp2YPNUZPX2DLOmLbEQSkAQyn4B4tr//dj0LFywiLi6eZs2a4ObujnlBi8xvPJe1IAVNLpsw2d3sIfBG0ISEhFDepjQBwSEEBYWgqaFB+w5tcZ3lkSU+K1s2bcTHew7R0dF0796V06dPKzmaChcqyPyFC6hWo5b8csueJSJblQQyjcBTv0eMdRzLtWs3KFDAjFnubjRr0SrT2sutFUtBk1tnTvY7Swn84xQcQufOn9Phs8/x8vLizu07GBkb06NHN74ePARjE9NM7dfbySlFksmAgCBETpiePb9k7PgJ6OnpZWr7snJJQBLIegLJyUns3vEbCxcspkaNavTq04eq1Wvmm48XsfX2prw57ZTSLEhBk/VrU7aYCwm8LWi+/LIrEyZN5eTJ43jMcldEhRASQ4cOoXffvujpZ17gvbcFjb19Q8wKmOH/zJ9Ro0dRq0496TuTC9eW7LIkkBYCwpcmLCQIY1NztHW0FR+6973c01JnbrgmMCCAK5cvAmpUrlIVi0KFUh23FDS5YUZlH7OdwNuCpseX3Zgy3UWxjPgeP4qLiyvBwaGYmZkyetRwun7ZK9OC2b0taIaPHMGAgf2Ji43DyMgYHV3dbOckOyAJSAKZREBYKd448GVSEzmx2lO+vkyaMFEJrOfqPgt7e3sZKTgnTpTsU+4h8G9BM3WGi3IsWoiaX7dtxctzNgkJiUoArBku05T97cxIN/C2oBnl4MDIUSNzD0TZU0lAEpAE0klA5nJKJzB5uSTwIQIpCRp1dQ0lLHlwUBAL589lx++7SEhMpGLFCrh7umNbrnyGx4KRguZDMyX/LglIAnmJgBQ0eWk25VhyBIHUBI3onDhWKbJcr165nI2bflH2dytXsWOa81Qq2FXJ0H1uKWhyxHKQnZAEJIEsIiAFTRaBls3kHwLvEzSCgrDUhIWF4u7qwt59r7LkVqhQHm8fbyVUeUYVKWgyiqSsRxKQBHIDASlocsMsyT7mKgIfEjRvLDVPHj3Cw8OdU76nFVHTvHlTps2YgUWhwhkyXiloMgSjrEQSkARyCQEpaHLJRMlu5h4CaRE0b0TNxT/OMd15Oo+f+CGiCTdp0pBpM1wzRNTs2vE7K5avICY2lv79B9D3q365B6LsqSQgCXwygcTEBESAT/+nj9HS1qV8hUoZuq39yR3M4AqkoMlgoLI6SSCtgkaQEvmWrl66gKvrTO7de6CIGpGWwGHsOEw+MfBeTEyMclT85s3rWBUvTsu27TEwNJYTJAlIAvmEQEDASyaMc+L27du0b9eaKdOmo6mlk2dHLwVNnp1aObDsIpAeQSP6KBJInjx+HB9vbx49eoypqQn9vupL3379MTA0/OhhCF+deT4+/PzTTxgaGfLzTz9QpETJPP2F9tGw5I2SQB4k8OLFc8Y6jObSpau0b9sCdy9v9AyM8uBIXw1JCpo8O7VyYNlFIL2CRmTDFonkDh3Yh4e7JyEhoUoOloED+9NvwNcfHaNGCBqPWbP46cefMDIy4vedv1OosKUUNNm1MGS7kkAWEwgNDmLyhPEcO3GKpvb18Z43H2MTszwbdC/LBE1EeDixcbFZPJ2yOUkg6wn8desmE8ZPIjw8DBEpWATWE3FoPlRioqPZuuknlq/4htDQMIoWsWTipAk0a9kKbe30m4lFThc3lxls2rQVY2Njdu3dg7m5uRQ0H5oI+XdJII8QiAwPZeqkiRw4dIzGDergM38BxmZ59zfg5s2brF+3DnU1dXr26old5cpoaKT82/tJqQ+WL13K2TOn88gykcOQBFInEBERwf37DxT/mPQIGmFRiY2JYf3aNaxZs47Y2FiKFSuKwxgH2nfomOqDmVpPkpOSmOkync2bf5GCRi5YSSAfEogMD8N58gT2H8wfgkb8hopYX6KIk6Pq6uqpzvonCZrx48axe9fufLik5JDzIwHxYGloqKdL0AhO4r6Q4CBWrVjOxo1bFP+aokWLsGjJIipUtEtXQkkpaPLjypNjlgT+IZDfBE165v6TBI3TWCFodqGro6N8dWpoftgEn57OyWslgZxGQJg927Vrw6BhI9IlRF6JmmDm+3ix/bddypdG2bKlmTtvDmVtK6R5mFLQpBmVvFASyJMEpKBJfVozRNDY2Nowe7YXZmZmeXIByUFJAm8ICCGir6+PsWn617owmz56+ADv2V6cPnVGGFCxt2/I5KlTKFa8RJryPgm/NTdXF3bu3C23nOSylATyIQEpaDJZ0FSys2PFqpVYWFjkw+UlhywJpIeAisCAAFymT+Pw4WNKjJoKFcqxaMliLIsU+2BFO3//TcnsHRwcLAXNB2nJCySBvEdAChopaPLeqpYjyrUEkpKSuHf3L6ZMnMTt23fQ0NSkRYumzHCdiYmp2XtPLG3ZtBHv2T5ERUVJQZNrV4DsuCTw8QSkoJGC5uNXj7xTEsgEAko04SuXmTp5Ko8ePcLQ0JA+fXoxeOhQ9A1SD7z3di4neWw7EyZGVikJ5HACUtBIQZPDl6jsXn4kEBcXx4H9e5ntOVsJvGdiYsyIkcPp3qMX2traKSKRgiY/rhQ5ZkngHwL5TdBER0Xy/JmfAqBwkWKvI62rpbgkMsQpWPrQyMdNEkg/ASVGTWwsu37fzqJFSwgKCsHIyJCpUyfRtkNHdHR0/1OpFDTp5yzvkATyEoH8JmhO+foycfwEZSve3dODRvb2mRNY782xbSlo8tLjIseSlQSEqImOjmL/3r24zHBF+NdYWhbGwXE0HT77HE0trXe6IwVNVs6ObEsSyHkE8pugybLUB1LQ5LzFLnuU+wgIUSNSKqxavoyNP28mLj5eSWbp4upCi1at3/kakYIm982v7LEkkJEEpKBpkWouPLnllJErTdYlCXwkARGjRhznXjDHmx279iqhvu3sKjJnjg9Wpcr8ffJJCpqPBCxvkwTyCAEpaKSgySNLWQ4jLxMQIuaF/zMWLljA3r37UKmgdu0ajHMaT4VKr1IkSEGTl1eAHJsk8GECUtBIQfPhVZIrr1ARFxNDTFwCRsZGaLwnaVeuHF4+7LTwofH3f8ac2bM5cuSoQqBGjRp4z/GhUGFL3sShiY6OlnFo8uH6kEOWBKSgyWeCJvj5E/xehlLapiyGenp59wlQJXF85xZ+P36ZcVOmUbRACvFLRA6h5w+58+gFyeKT/3URwdwqVq6KgW7Kx4NzLDSVisiwYG7fuUdCYtI/3VTXxLZ8OQqYGOfYrqe1Y0LUPH70gNkenpz0Pa3sF9etWxvnadO4ceMGs71m8/JlgBQ0aQUqr5ME8hABKWjykaARDpYnf1nDN7+dZpq7K+WsrXLcUo6PiWLHlh/QLVaZ9s3rvzcy7Hs7n5zI9nWLWL39BEvXrqe05X/zCyUnJbJ33kgW7buLmoam0pY4wa+nX5BV366goLFRjuPzvg6pkpK46nuAaR7ziEtCcZhVIhJo6zHVxY1GtSrnqvGk1lmxji/8cQ7H0Y6EhoYpoqZFi2aMdRrHwvnz2b17nxQ0eWKm5SAkgfQRkIImPwma5GQO/riE5dtO4uYzm8o2ZdK3WrLg6ojgAOa6TgKrGriMS1/W5ne6l5zItnWLWJOqoFERH/GU4Z17U6PnULp0aIGmhrpShZa2jpJkUUtLMwtGnHFNJCcl8MehnUxyXczS71dTyNgERaKpq2FsZIy29rvHnDOu5ayvSQTeO3zoIPPnzufp06fKfPUf8JWS4HLnzj1S0GT9lMgWJYFsJyAFTX4WNGWsuXX5HPdeRlGtbDFOnDlPaEQsZStVoWGdqtz54ySn/7yPjp4+NeybUal0cTTUIPbFXXafvkX9WnZcPH+eJ8+DMDW3oEHT5lgVKqAs6uTkJIL87nLw2BnCIqOV7MmlK1WlYZ2a6OtooZacyMHft1OodHme37+NX0gk9g0qcmzvCfYfPECyUSGa2zfApkY9WtStRnJCPDcvnOHsn7dITErGxKwgbdq3xczICDXFDKHi6YM7HDl6gsi4BCwKFyHozgV+PXqVpetSsNCoVLy8dYaew6cywXMBLetW+VvQvHkqY4MfsHvfearWq821MyfxD43E1NKadq2aYmKor1yWGB/L9XO+nL12R9m2MjKzoHmzplgWMicmMoyjh/ZTytaWhzdu8SxWja5ffIaRvg7+j26z75Av8YlJFCxiTTmrAty4/4I2rWpyYOs+bOo2okpFW9TV1YgKDWLPnn0UL1+FetXtUv3ReCNoprgt47vfN1O0QIFXFpo8WISVJjEhgV07f8d7tjdhYRHKcW5dXR38/V9IQZMH51wOSRL4EIHYmGh2bP+FGzdvYVOmNJ26dX+dLiVv/hLm6zg0qn9baEoVZdv6pWzYcYyC+vqUqGhH2Iu7/HU3gMZN6vL88TMsS5bmyqkjaBW2Ya63BwVNjXhxcReDXVZhaW6MWbFSlDY35NCxYxiXqo67yxSKFjDixYOruM/0JBI9qteuQ/TLB5w8+yf1O/Zk9MAvMVaLYfzg/gQm6pCopknhosXo/FkTDv++i6PnLoGeCeXL2VK/7Rf0aNeUq8d2M3fZBuzq2VPIWIerZ06hWbQCzlPGUtBQj8jAR8x2dcEvXItadary8Op5bt17RJKeGctS2HISLM7t/Zkp875j3pIl2FoXV4SRyPAstjDU1JK5sPUbZqzdT4USZhgWKYm+RgT7T/zJWGcX2jauS2J0GNvXr+S3Yxep27gpekmR7NixkxbdBjJqUF/8719g8lhnVOq66JqZU9SmEqOHD0IV8QQPNy8wK4FtiUL8ccqXsNhEDC1L4zNrHJ5DBlC+02CG9uuOtpYmN3x3MXnmAgaMd6Fza/sPCprJM5eyesv3FDE1Va7V1NRCU0sT9VfKL0+VmJhofI8fxc3Ng8DAIGVsVlbF+axDe/oNHISRInjz3rjz1CTKwUgCGURApUomIT4ekQ9OQ0MTbR1t1NReWd7zYrl58wYb1q5VTnn26NUbu8qV80+k4JQEzda1i5m1chujJ0zhyy9akRAdgUP/HvjFG+Ll5Um1imXx/f1HZq/bzpIVKyhXqgTPL+yg0wgP6rXvzowxgzDS0WTHhsXM/2434928+aJpDTb7TGON7z0WLJxHhdLWJCfFsX2ZCyv23GLxkoVUsS7AuIHduRpmgOfcuVS0Loq2pgYRIQHMcZmMmlV1pjoORVdXF5IS8Rw/Ak2b+jgM6ouhng43T+9jhPMCXH3m0bhWJU5tWcOcn/Yzw92dKuVKExX6DI+JE7kWEM/yFARNcmI8v69ZgOc3m9DTN1CyOgtF06lbH4YP6YemKo7V3q6s+HkfHXv0Z9yYIcQEPWWswxhqfzmMUd3acevsIZym+9B92AT6d21NXEQwbiN7o2bbAtdJY7h34nuGT11B8RqtmePiSMECppAQw49e49nzEBbPn41FAWMC/zpP/6ETqNDsC2ZMHMnKKQOJK9mYyQ5D0dVUsd59KtsuBrJszSJKFvqvL9CbB/WNhWbcNE/UtHTQ0tRUFrptdXvmek1FV0uD6KhY9Az089Spr/j4eL5dv44Vy1cSExND4UKFmDbDmeYtWyvjl0USkAQkgbxIQBySiI+PU3ZAxIf4KzeJfJLLKTVBM2/nn2xct5QS5sbExUTh4jiSMKtazB43GBN9bW6f3oeD62K8FiykegVbXlzcQdcpq3H28KZd7QrKF3DQtT30GOJK1yHj6PN5MyY7jiaieE0WTXfA1EAX0fZV330MHuvG9HkL6FDblnEDv8Skfk8mDOmNga6Ost4igl/iPWMS6lbVcRk/SnnxxkaHMLznl9To2IfGtauhpalBbMBDxk33ZsgkV7q1a8L6WU6ceZ6MxyxXilgUQJUYz9Y1C9mw83SKTsEJUSEsme7AzktPqd+wITqamqjUNWnZ7nPq1ahIQmQIXs7juRSsy+I5M7EqYsGLx3cZN3Y8XwweS6emddi0eBqbzgYwaewQwgID+evmZQ6dOM/A4Y583qYxW+fOYN2Ra8ycPZv6NSorL9dHNy8ydtwUmvYYwvA+ndHSUCPG/zpf9nGgxUg3hrSrxY6lrux/po6n6xS0ogOY7DSR+l2/pmfHVui+xw/mjaBxmuZNg5bNMdDSRl1Dg/I16vNZq8aQEMCalZvpMXQYBY3yzgk3EaPmtO8Jpk+bgb//c/T09Ph60ECGDh+uWKdkkQQkAUkgrxIQ2+9vyvus0XkuUnBqgmbBvptsXbcMS1MD4qKjcHNyILJUPdwdvsJIW5O75w8xcto83OcvoGZFIWh20nXaBlxn+9C6uo3CMvzpGfr2GEvrvsPp80ULnEaPpECDz3Ed0Q99bU0E9AeXTtJz0DhGey+kR4PyjP/6S4q0Goxjv66K9UCpJ+glPjMmomZdHdfxo9EQPiThj+jXsTd2bb6gsk1pxa9ElZxIWHgktRo1o0JpK5ZNGcXNeH3cXWdgISwh73UKVhHy7D5OQ4aiU74lPm6O6Ou8OqItzJOi/qCnD5jkMJy6/xvEgB7/Q1NDjTtXjzDVeQHjZvlgZ63DmC96o1uzKY3qVCYmMgqDgpbUqGJH8aJF0FTFM33MSALMKuAx2QFLM3FsXMXZg1vwmP8dzl5zqFOlPKrkJK4d2Mz4+T/j/e0GKpkbc3HvBiasOsqShV6EXNzNqt2XmeU2HRvrYu99Jt/2oVm//WeKFXjlz6Sc3lJTU8RqYFAIBSwKKdawxKQkIkOCCE3WwsrClIigACKTNShayBwtDQ0SExMUv6CX/k9BUx/LwhZoar6ap5xShJjxe/SASZMmce3aTWXuOnX6nOEjR1PY0lJuN+WUiZL9kAQkgWwlkM8EzXIsTfX/ETSl6+M+ul+qgqbLlDVMc59N+7qVUFNT8fT0dr6aMIdeIybSvU19JgoLTUE7lnpMxMRAD7G3eenoboZN8sJz8RKaVSmJ08DuaRA06sRERTK89/9oN3gynVo2+vulKkSSsECQnMw3M8dy6mkC3l7uFClkjiopgc2r5vPtrv9aaISw87vxB4NGTaDthLmMblvzPw7Bj64exWGsK4OnuPNZy0aokuI5u9ED7603mbN8BRbJD/nf56PoOcmN3p83VqxGwtQnXqhCPEQGvWD0sKHU6NiboX26oCP6qUrg8K+LWfTNMbwWLaaCjTVhLx4yd9pE/owyZOO3q5TrHl8+zvDRrgya4MCJ7Zuo2L4vvTu3xUDn/daGDzkFx0ZF8d3KNXQfOoirR/aw8/JDTBLCeBH0ggp2NQn3f8Q9/wCadvySrm2bsPentdx8GkpY0HMiwiNp270P7Vo2zjHbOGL+7/51i0kTJnLn7n0leeVnHdoybsJECloUSjWnSbb+qsjGJQFJQBLIBgJS0LxH0Hwx3JMajVrgMHwAZSyNWTPfm+0nrjPDZx71K1mzaZkn63dcwHGmO+0aVCM88ClrF8zF934ECxfOplOtPFQAACAASURBVJS5LmNTEDSRwofGdTIvtYsyx3USiUkqdLU0WeDsgJ9aYcY7OVLcwhQS47j+1wPK2NoqL/rjv6xm/vqdOLrMolHVcty+cIrlS5bxMFLF8jXr3olDI+LPXDmxj3FuS5m/djWVihf+22FWCCR1Nfhj2zdMWbwFt4VLqF+tAvFRgSwcPpjLumVYsdgTtagnjO7Sl8JtejN99AD0dLUJfPGMWDVdrItYEOB3j9EjHOjlOJXPWzZ6taupSsR3/4+4+/zIuFmzaWBryfc/rufb736hYv2WfLPIS7FIhT27xbCvh5Kga4aOUWE8vNywLvZha8MbQTPZbRnrt/30ziknsd0VHRbCHBcvRsycxqlN69lz8QnOLk6E3vZlwZrdOM1wJuaOLz/6PsR92nh+mueOv641w/p35cWVIxy68oQho0dh+Hp7MBueyb+bFGImIOAl7jNdOXbspGJNMjExoWRJawoXKUr79u1p1bp1dnZRti0JSAKSQI4hIAXNewTN/5wWKNsoUZExiqAIeBlA+0HjGDOwO/paGrz0u8P0sWO55BdByWKFiI0MJ16lxUSveTSyK4NOUqRy7b+3nOJjwvlh2VxW/byHItbWVG3dmakDu/Hw8jEcxk0HIwvMjA1QJcbxIlaDBYuXUK20JREBfiz1mM7Ba08xNTYkPCScCsUK8jg8ngWr3xU0SQnxHN7+LTPmfEOR4iXQ1X4dEVhNk76DR9GmWU3WeE5l86UQli3woJxVYSKe3mbAUEesW/Zi7ph+JMRGsWmVB0t+OIRVieJoa2kRHhpM5yGT6Pt5E55ePcTo6Utxnj2f+lVebcuJ8uDaeUaMGkOUmi7m+joYmhiiFfmUEva9mDFuOBrCpyYyiMlDB3P06mPGuc2mR4dm6Gh/OCaOEDQXDu/EafpszC2Loqfzyi9JpaHDMAdHqtmUYK6LFyNnTsd303quPAXnmQ48uXWN1es2MdnTlegbR3FZv4/5Hq5sWeKNZZ32tG5Sm8SXt1nz86/0HjqOAsYG2f6QhoaGMGG8E3+c+4PY2DhKlChG/fr12LVrDzExsYwcPZoRI0e8t5/CavjW9nO2j0l2QBKQBD5M4M0W+oevlFe8TSDvCRqVikc3LnLl7jMa2DfCwsSQ29cucfFhEB3atMRIV4uk+HhOHz9CvHER7GtUQktDndDnjzjke5GGTZpQ2NxMOeXU1Xkdk6ZNxyzkPg9DYyhRuix1atVAX1dX2XJJSkokJDCA40ePEh2fiEqlRq1mLSltWRBtTXXUEmM5vHcnhiWrUKOi7d9bPuIlEx0ZwImDxwiKTsK2Wm1qViiNECEPbl3hj2t3lWzLoo0qDVtQwaoQmhoaCKvLc7+H+J4+T2xiMmXLV6KobjJX7z7BvlUbxTH5TUlOSuLJ3VucOPMHKjX1V34WwoSioUP9Js0pbWnCHyePEpCkR+P6tTHU1SY6OIADR09QrFJ1apUrpTg5R4UGcurIIQKiE1GhhlmxkjRvUBtdHW0CH93m1JW/aNi0OQVN/km7kBgXw8M/fTl5zQ9dbQNKFNJi5ngXek2bQ7//tVK27/zvXcd1mgtFqjVmzMivMTU0TJMviGAX4u/H/iPHSUgSjF6f8NHQwr5JE8z0NJkzw/O1oNnAVSFo3Bx4fPMaa9YLQTOT6BuHmb5uHws8XNm0yAsd2/p0at+M0Fun2HrwAgNHj8H0dQye7Pi5EJaZyIgIvl2/lg3rvyM2Lo6iRS2ZOHECz1+8YMH8RYhcTqMcRjNy1KhUuyjqESEG1NU1lNNtskgCkkBOJ6AiLDSMSpWr0verga/cDf5VlN/2x4+IiAjH0NCQEtYllePbskCeEzRiUoWfgfgsFYtBvMjFAhCOn6+2WtSUvyUlJyP8pt+Ezhcvb/HflB9/VK8EjXAK9ppN8yplFIdfsaUhrn+7iP+elChe9q+KOBr9dywUERgtKUl56Wq8jtD75l7xYk5KevX1rK6h/vcRYyFklP6/qU/0+a1jueLvYjyiPWU8SoC/ZNSVtAZv9UylUsb8dl2v/qqmjEFUmShyIam9+ndxqxiLqFv88U2iy3+P781YFK6CoUqlMP67j6okbl/YR6BRJeqULqqItB+WzmDVrlts2bQB68IWJMT7MfmrUUSXqIbrJEcKFTBV/HLSWpSAc4mJ/7lc9DlSbDmlQ9B87z2D3RfvUKpsGUKf3KZxt6F81b0jOlrZd3JIHMtevXI5P/7wMxGRkRQrVpR58+cqGbe3//IL3rN9FEHTrcsXuLh7pvpjJjh9u3opXXv1l742aV1c8jpJIBsJJCclc+L4Ee7cuc+wESNSfG6jIsJxme7MkaMnaVivJu5ePhibmsmPFvF2U719HiqdE+k0dhy7d+2ikp0dK1atxMLCIp015MzLxYv6xeU99Jn5PVPdPGhRNeelT8iZ5ISaTOD0ju/xXLWZ+IRXgqlwMSv6DRqKfd1qaKrBD4s9+eXYn0ye6U6dyjaK9SmjSnxsDA/vP6JEmVKE+j8jMk5FGdtSREeE4+fnT5lytiRGBvHXkwDKly3F93PdMLWtSQmroiSraVK+YiUlQnJ2BehLSIhn6+ZNLF2yTMnhZGZqwmTnKbRq3RYdHR02b/z5b0Fjbl6AnXv2KH41KR1lFI/292tX0POrwUowRVkkAUkgZxMQH6DHjxzi+o1bqQqa/Jb64Mzp00ydMlX5jXNxdaFho0b5J7BeRixX8SKIiQjk+vWHlLarhLnRqxQAsqSBgEpFXFwsgS9fcPv2LXRMLaloUxJDAwPla0NYpq5fvgAG5pQrY60Exku7bebD7QtLm7BeicUv/lkIKmE9UqxPiiVLnMRKJjlZ/HsSP8zzoGidNjRpUFM5WaZYq7JpeyYhIYE9O39j3twFBAQGYWJizMQJTrRp/xl6+vpKv94WNMbGxuzauwdzc3MpaD68NOQVkkCOJyAFzX+nKF+nPsioFStehso2lfpr/5OMqjif1KNsjSULC436fywwwvfoVSyc7I1wK7bX7t/4E/2CxbAsbJ6t/RGRgPft2c3SJUuVRJRia3D4iGH0HzAQfQODvwWLFDT55AGSw8yXBKSgkYImXy58OehPJ/DGavOOD9CnV5vuGoTwu3r5MmMcHQkMDFa2h/r370v/gV9jbGL6jvVFCpp045U3SAK5hoAUNFLQ5JrFKjsqCfybgBBV9+/8hdtMV87/cUmxEnX64jMcxo5TAuf924olBY1cQ5JA3iUgBY0UNHl3dcuR5WkCQsw8efwQT3cPTp8+q5xIs7evx3QXN4oULZpiBl0paPL0kpCDy+cEpKCRgiafPwJy+LmVQGhICD6zvZRAeWLbqWLFCszy9KRMmbKpevFv27oF79nehIdHIJ2Cc+vMy35LAikTkIJGChr5bEgCuY5AUGAAC+fPY+/e/URFRVOlciWmODtjV7mKEssotfLo4X083GZx4uQpKWhy3aznnw5HR4Tx6MlTSpSxxVAnfwZ9C3n2kNBEDayLF0vzgQMpaKSgyT+/EnKkeYJAfFwsy5ct5fvvfiQ2NlbJ8O3u6UHdeg1SjAz69qBFEMeZLjPYsuWXTBU0iQnxnDx8gAQjSxrVqoKe9qs4NslJ8dw6c4pwHXNqVqugHLvPiOL/10XWfreDdn36UaN8qQw9yp8R/cvIOpITYzmx7XsuPU2i/+CvMDXUy8jqs78uVTKXT+1l/pqdeC2aRzHjt8YnwjrEhPLT+nVoFalIr05t0vyyz/6Bpb0HKlUCm7ym8cTMjjGDe6b5OZGCRgqatK8yeaUkkM0ERITf7dt+YdWKVQQGBipRgB0cHWjTth3ar/NSva+L4qj5TJfpbN6cmYImmdDA43zZYTJR2rr4LFpCvWp2SjRnkYdshcMQHurb4uo+GZM0xGiKjYrgwL692Favj22p4imKlWuHt+OxejudvhpB97b18rSgSYwJ5WePaZwJ12HqtOkUK2SaoatS+GY9f3iH87cf06F187+jfmdoI++pTJUUz571s/nuYizfL56FluZbgTNVyUQ+v8W06e6UbNSZkX06p/llnxX9T05M4OyxgyRYlKaBnS2a6Yhg/k//VCRFvsRx6EiqdhnKV583R/ttBu8ZiBQ0OUDQFC9enL59eymBwGSRBPIyAXHEu1TpMthVqZbuAHzix2rvrt9xd59NWFgY+vr6TJzoROeu3ZWgg2kJ6Jc1giaJoJeH6NZ6IrFaWlRo3J6FHs4Y6WoTHx3GoqFf8dCgHO4+0zEz/ieHV2rzHuD3kFFDB/HZ4PH0/rx1il/kMdFRRMfGo6eni75eHrNY/AuMSLAaExVFfBIYGRv/neMto56bpIQ49m5cw49Hb7B22Tz0dP/J8ZZRbbyvnsToYFZMn0hA8Ya4OH71rqBS0qvEExIaga6+gdK39KQ9ydT+q1TEhgcxctAgyn/Rn1FfdkRP6yOimKtUhDy+xagxkxnk7E7jmnZopDFYpxQ0/53hP86fw2PmTOV3w2nCROo2aJC5kYJFniIRlv1N/p9MXXSyckkgGwmIH98uXTrjNGlqukzliQkJnDh2hNmzffDze4qOthYODqPo8mUPjIzS/iGQlYKmf1cP2rRuzO8HT/D1ZA+6tq5PUmzEfwSN6NPLZ485duQYsUmgqa1D3YaNKGVVlJDnt9n00062b99Gudr2VK9UjlqtOlK1ZOF3rDCRLx6w/dBZajdrQ/kiZkQH+3PokC9ValXn0e3r3PcPIlmvAB1aieSxpko+NpGs9e7VC/hevokaKgoWL0WjBvUwMdDl3tXTPAlOpLA+nL92B3MrGzq0tFfuuXn1Mlf+vE5isgqTAhY0btoYM2MjRVAGPHuM+AF9GRyJChXFStrQsEFd9HW0UCUn8ezBHQ6fPKtEmtY1NqdNq2aYGhko1wY9f8bpo4cJjk1GTUOd2g0aY1uqxH9/fJOTeHjhABf9E2ndpg36mmqcO3EU4yKlSA5+zIXbj0hGgyYtWlGyeOEU03AIK0zQcz98Dx0mNOFVANBajZtRylyP37Zu5cTxAzwIVqNj+9ZUr9eQ2lUqKHna7ly/yoUr10gUUbR1jWnVvDFFC1koeeDCQ4M4fuwEJUsU5c9rN9AvWJR2rZqhgYrH9+9x4dIlomLj0TcwpnHL5liYmCg54RLi47l89iQ37z1GQ0uX0kUtWLdqOU2/nkjPFnXeeU5EpPBHN/7g5N0QOrVuioGWipOHDmNUthL60cH8cekqiSKBbuPmFDZQ4/jRgwSGxlKgcDGat2yGoY6W4kDvu38HFqUrkxj8lEu37qGhY0DL9m0oaGys8BLBOwP9n3LW15fg6HhUmjrUrF2bSjallPkQLA7v+ZWSFStz/9p1nobFUtG6IBcvXmXL1u3Y1WtEFbtK1G3elspWFoiUKrcunOHPuw9JTOY/6yY24gXHDp/EPzgcbV09ShbUZ96ytbjPXUiFsqXS/IslBc1/UcXGxBAY8BI1dXVMTc3eCTT676s/KZfT5IkT2btnb5onS14oCeRWAiLysRAlIpFojy+7MXWGy+tEph8ekXj5HD58iFkz3Xj54qWSYqF3n96MHD0aA4O0ZRl/00pWCprBveYxztOH39bMJRATvL09MNGGxcPetdD4XTvNDBdPitdoRJmihXh4/TzXHkUw0c0FC1UAXu4L+ePaDQoWs6a4ZVH6Ok3EvlKZd75aH53fQ5+pSxjk7M1XTSvjf+MUkye6Ea+pRwGr0tiWMOHXX/dRoXEH5rtNQlstiSsHtzNryQaKl69D+SJ6XLpwgVqd+/N1l3bsWjubn/edQaWuia6eMRWq1mXsyH6c/WU9izYfpE6TplgYaeO7ey8G5Wrh7TYZXS015rtM41F4MtWrVCQxPIBtuw/RY+gY+nRuS2yIH55uM6FwBWyLmBH09Cnte/TBtrQVAfeuMm3ydNSLl6N25Yo8v3OJy3eCcJo5k3p2Nu9a3xKi2b98PN+ci2bB0mVY6KhY4DqF6/f8UekZ0axpXc4dPIR/oh7e8+dQ0arwfxZZfHQQnpOm4K9uRt1q5dEIuY9m+Ra0rWzBzGkenDx7mcKlbShRvAhd+g6gcc2K7NiwhC17ztOiQxvUk+I5uHMHRas1wsfNGW0tdW5c2MvkiT6KUDMyNaZsldqMGT6AOxdP4DxzMbUaNaCUVTHOHjuAf6w+K5fPx0wXNi31ZMvxmzRs0gT1yCfsPXiOeHVtlnyziso2Zd6xwAjxs95jPH/EFGD2tPHoxAYyZswkShU15kFgInYVy3Jw7x5MrCtQ2FAdPfOiqIW+4ODJizjM9KZnh8ZERzxiWJd+aJkVIUnHiJo1KnBi7x7CTcvz/eo5FDTQ5uzB7cybs4qilatTuUJZLvke5fazCNznzaNuZRuiwu4ysHN/NE0sUNPRx8SyOA3Km3PwyBH+vB1A2XK2WFjbMGaMA6UsDNjz0yp+2nWGWvXrY6qvydG9O9Ep14QV7uNJiA5k+sSJ3H4aQYtmDbhx6Sr3Hj/GoIAlS5cuxqrYf+cvtV8NKWg+/Hv6vis+SdCcPuXL48ePPq0H8m5JIBcQeOH/jG83/EBcfFy6BI0QQo/v38F52gyuXPlT+Trs+r8vGDRsOJaWRZSvjvSULBU0veczad5SjKLv4jpzAT0dp9KmYWWWjRj495aTqXYiC1wncSNMF09PN8wM9Ah5+QSfGdPQs2vGjNH9efnkIY7Dh9J+0Fh6dmyNtrb2f6y5QtD0nrKEQdO86f9a0IwdOx7rBp1xGNYfM30tfL+ZyoLD/ixet56CSQE4DuhPwXqdcBk/HF0dbYL8HhCtpou1VQl2rvVi8Q8HGTZpKu2aNkJXR4uXD64zYrgjTbt/zZB+3dFQJXHjzEGmeK3Eeelq7G2K8vjJEwoUMEdXW4uE2Gh8po3jjnZpFriMR+V3Cff5K3Bw9qSEpQXCMq187cdF8N0CNw7dDlcEiIWhHgmRQcyaPB4NW3tcxwxGW+st5+kUBM2c6WO5EqiFy1QnypUsjv/1U/QaOZ2J7j581qw+Gv/y5Xh5fiuOczcz3XsBZYsKC8urnGViNf119gADx3gw3mcBretWQldbm0uHf2Wa13L+N2Akvf7XBm1Nda7sWYPPT2dYunI5hUx0OfPdFMatOMNgh7F069xeyTifGOrHjEnOWNn/j16dWmGgq8XG1QvZvO8My9auB7/zjJ8xn3Z9R9GzUytUsZFs27CUzQcvs3LtGopbvurbmyIc4l2HdcOsdidGDuhN8KMbODqMId7CDvcpDpQrWYjv5jixcsd1eg0ZwZA+XQm4ehInp6m0HDqJkf26EnJpIx0Hz6daszaMHTmUEsUK8esyV5Zt82Xp+p8ophnGxMkzMLJtyKTR/TE3NcLvymEmTnGnce8x/J+98wCvotji+C+56b0nQELvvQhIV0ClSJcmvaeQRhJSSQ+phNC7ig1Q8KECiqIgIIJdeq8hpPd6c8v7dkMQBCRIS2Dn+3w+c3d2Z/4zu/vbM2fOcZ0ygszD6xnmup7Orw3B03kGtWyt0UDFoeVzWfmrisiYKOrXqhjjE/u2s3DJ+0z38qVXl/bISwtZFRfO99fg89WRfPfJGhZv/Y3wiGA6tGxEYeYNotydyTJpzOLFUVibm1b5FpeApspS3fPARwIa4WEtFUmBF0GBk8eP4jjHidzc3CoDjWCZuZ58DR8vL04cP4lSpaLvK70JjYzEwtKqSj4z/9RWsBIJu5y2bv3sCe5yqvChmTUhEb/Fq2jdwIaNCQEcSpERG+LJR76ut4BGN+cynq6u6DTthpvTLHS1NBGcgD/asIKzZeZ8kBROTmoyLrNm8OZsLyYOG3DPpboKoFnKzKC4W0DjLcCIUxjj3+iFTENJ7vGNjJu3leiV6zDOOceYOV54RC9j3GvdxRe0oHdl+XzdQj46kkpidAQON51u/zr4DR4+Qcz0CaJXp3ZiotSsq6cJCIuj4/QQwsf3AaWCorwcsvILUCvkvLc8gSOlNqyPCcK4LI3Y0GCuatXBa9ZEmjVphKGBPsVpVwhxm0WeVUt857mJ8CK0ZePyWE4Um/BuYjgGerp/D+U9gGZRqDdFtbuwwGkC+rq6lGafZ8AbbzPTP5yxw15D+x8Z6XPO78PNOxaTNq/gNnUcjerZi5Y/cTnm8w8IXrmNVRtW09Shtrgcl+A/lwPXYFlSFHWtzcXlvrSjW3GP2kb8suXYGpQTNf5tTps1Ii4+hrq2FuIS25HtGwhe/TkhsbHkXT1DSrKwtLif9oPGMWf063wcF8Inf2Swdu1SGtWxQV1exI53FvLhd9dYsWa5CBO3A01J3mkmD5nOUPdAxrzZnzNHduAftor50fF079QWmbKYlb7T2H1Nj8WJcTRysOP491/iMz+cCQHRTBjWh92JwcTs/IXQuER6dmojOh3v2hBG9IbdLN3wITd++h9LPjtE1JKldGooBKjUoCD5VzxcfWj22nTmzRjBZn933jt+g9ily2nXpJ6Yb05RlkP48OGkN+tLdIQ35saGqEpySAr148eLBXj5OJN64SLnTx/jwK+nGT3DhTdeakKItytW3UcS7DwFHR0tinJS8Zg8Ff2Og4mcPwsTw6r7hElA82hvk0cCmke7tFRbUqDmKHDy+F/MniUATU6VgKYCZq6StHgx3+3ZK2b6frlbV7y8vWncpOlD+d/crtKJY38RGRHJn38efWpA075pHU7/up/AkFj6T5pF4VcfkGLaUnQKVlw7iYebJ8VmdejTq4doSVCr1CjVKqzqNuXt4QPIvnHtPwGNjwA0zuGMf6Mnmhoq8k99yBjXj4lcuhqjnHOMnxtI8Mr1DHm53R27UQTtBaDZ9HsWi2MiqG1mKGw455c923HzCqXb64No4FBblFVIQqtQqmjeZwivta7FN59tYdeeg5SqQKVWcvXieWTN+4hAU8dEixO/HeGLTzdx4nI6dg6NcfKYi5VGMfNnTCdN35p+fV8Rv+qFIsCnZb1mjBnyumhBulXuATSJoT4U1ulCsOME8djSnIsMfH0sU7yDmTBq0J07hYDyshL2797O+5u/IK9QzsDRE5g4Zgh6MjWbly1k26/XWbMsHmsLU1TyNFwmzqJWt2H4OE9GX2iLWsnPHy1i+ffnWZqUiCrrAm9Pc6fn2074zxwtWtAU8nzWhPmx47crvP56/5tLRxq07PAS3Tp3RKMwEz8vLzTavc7CuZMx0tOhKCOZhPluXDduweL4EAx0df72lVKrSfnxI8Z6ryIoYQmvdm7Nd2uDeO/HNOITE3CobUtJ5kU8J83GqOcoInxmoS9T882nGwlb+hGxa9+la0MLQrzdOV9mworEKKxNDEFdzvoQDz48dJV331/DtsVRnCnWJzEuAhMjA2GUuXRoBz4LohnkEsK4V9vj5eJMiXVLVsUH3wpJkHftFCPHzqT/zHl4TByGvo4WWReP4evhTbrMlld7dRDnt5aeIZ26dadjy6YkX/gT12lOOEYkMvDVnqJGaRePM22mG297L2DsgD7o/ANG/+2pJwHNo70TJKB5NP2k2i+IAg8LNDeuJxMRHi6mNBAyaffu3QNff38cHOr9a+C8B8m57dNPxEjBBQWFTw1oOrWoR3lJLuvjQtj160XqyvOQNe4hAo1ewTXmu7tDg65EBvuhe9uuEE1NGdo62mQmXxaBZtAsLyYPr7qF5p5AM/djIpetxkqewugpc5kWEses4f3RlmmiViooV6rE5J4C0Gz+I1u00NQ2q3ipnTi8j7ke83FaEM3Qfj3/llpDQ3yB5588iJtvOH2mezPmjZ5ooWRZVCB7c8xEoHGwMECIAyQsm1w7e5wlixKo22M4c0f1YeG8OaSbNSMhOkJcrqosmjKZuINNcFR9KKDJvcjA1yqA5u1Rg+7c9qsWXJDVKBQK8rPS+TApjP/9dIE1H2ymobUOcf4upGg1JDo0ABNDXVR5x5k00Z0uI5xwnDwSXW0tCrOSCffxRtbgJRb4uHHu52+YH7EUn/AY+nfrKDZVXpROlM9cklW1WBwfdWvZTCbTEpfaspLP4u0xj85jpjF79Ei0NdT8vm8n/mHx9J3sjvfUkXfs4BIsPh/Gh7DuuxOsWLWcJrb6BM+ZQa59V6IDXLE0NeTKz98yO2gRk/yjmfBqB5Rlpby/Ip5PDpzjg/dXoVtehJfLHKzav0bYvNloa2mSm3Keea5e1BkwA/+3exLp40WBgQOxkQsw1NelvLSIj1Yk8MGev4hdkoSDnhw3F2e6DJuG54xxt8bmzM/fMWteOAtiF9G3eyfRx+vS0UN4egZR/5XxRM6bIPZHsPgI/Rf+/+nfvmTm9BCiVq2jZ7dOqOTFfL0+iritv7JoSRKd27V6qBAEEtA86An4779LQPNo+km1XxAFHgZoigry8fHy5qefDlMml2NoaMDq1Stp36nzfbcbVlXGp5PL6c4lp04t66OJmtSTPzHB0Ye8rBxe6j2UmPgFooPkxrhA/nfkKglrVtPQuiKmiuDroym++DTJTLmCy+wZdBw4EfeZ40Xg+OeOyHstOd0faNbQ1EaXhVNHctm2M2uSojEy0OPYvl2ck5sw/I1eolPwnUAD2VfPMGXaLGybdSVuURQmInypReuZsGyR+tMu5gYsZKh/AmP7dkFZUsDciWO4bteZdTGB6OddoVCuQ93GDSjJvsHCBf7otX4d35kj2bk+gbU7fyds9To62VuKL0nhvBqaFS++O0pVLDT/AjR56efJKdbG3sEeIabN2pD5bP31Eh9u/R9WmsX4z5qAZut+hMz3wERfDw1VMfOmTaHQsiWxEb6YGujx+brFLPvwC7xCoxnUvyc/bPuA+PWbiVm6krZN64vNLS/LY3WwF3uTVby/djn64rKZWthgJi5v5aVcwneeFwXN+rHabxYpRw+wIDyWS5lywuLjGNiryx3LTUKMl2j/efyRJWPZ4iiMSrOZMW02ncbPEbdIG+rI2PvpGhZv2isCj4OtFWXFPEP8LQAAIABJREFUhSyPCuGMwoLlkfMpyEzDadpklNbNWJoQiaWpPrveSeKD746xZMUS7G3MWR08n29OZ7Bi5RLsLM1IPn+KQD8/mvcaipfLVNIvnWGukzNT/KIZ9XqPW2088tU2vKOXszAxie4dWolO/+nn/sTXwwedxi8RFx0ihi4QrHpoaKKlpcGFEweYPdENl4WLGdy3G/u2byI+aS0yC3uWLk+iWQP7qt7a4nES0DyUXHcdLAHNo+kn1X5BFKgq0JQUF/POO+vZ+O77FBUVIsRo8vf3pVvP3mJog0ctTwtocjIOMM95Na4RcbRv6nBze24xO9clsnzzbtp3H8SCIHcxsF7GlVMsX76ci+ml1LG1El/kBfn59Bs7nZGvdqGsKI/YYD9+v5RFk7q16Drehbe6Nrtj98u1P/bgHLWBCZ7BjOvRgrQzPxMWEU3faT6MfLUbmhpK8s9uZVbAZwREJ9Cing3nf9lD9JJ3KDWwpr6JjOsZubzt5MmAnp345qMlbD+WS3iQH3amFT4MivIyLh7+mrjVHyMzscLMyBBleSmZCj1WxYehoyxgSWw0h8+lieHqSwtyUBQXkWvbirhAdwpP/8iq1ZvQt7WltKiQzNx83P0W0KlFIwoyLrNs6WL+upBFPQd70WKUnZlB//GzGNnvZbRud/4uL2Hfe6F88HsJ4dExWOmoWZUQRpFdB7ymviVaeMryLjNu9GzGuXgzcnC/O5acjn33P5Z/9AXGFlaoyorJKyxlyFQXBvdoB/JCVkX6sefYDZo1a8jISc50bdOAHRtXsuHTr7F1qIepkT6pKSn0G/wWI4a9gameJlvXJ7L94FmiE5NwsLW4CaUKzv2ym+DotVjXa4ChsHykLKN+yw5MnfQ22hoKPl+XxMYd+7Fv2AiFvJyGDRtw/OwF5vsH0bpJfXE7eGUpl5cS7usOdToQ4DqN3OQLePmHMtl1Hq/17IpMQ83WlQnsOZFCdHSkGOOoODeVRWEBGLR8Dfepb3Hj3B9Mm+VBrUaN0NPVx9RYj6tXUhg9dTZDXn9FdP4+cehrYuPXoDC0xL6WOYWpV3Bo24upU97G1sqcs38cxH9BDH7xK+jSquEtC8rFPw7g6ReJpX1d6tW3Z9oMR2qZ6fHZxtVs2XWAuo2aVDiLlxTSrtcAJo8ZQm76dRaFBnAyS0lDezvK1Zo0rSfj5CVNAoN9qWVRdYdgCWju/XQULNz5eXkIA2VibPKvAUgloHnUN4xU/4VQoCpAI3xd7fryc+LjF5GVlY2RkQH+Af68MXAwenp6/8kJ+J/iPh2gUSMvzeHc2WQcGjXB2KCi7YJvSmFeNhcuXMLIshb17O3EF60Q2yUvJ5PLV66jvOmYa2xqhr19HQyEoG5qNXm5qVy8cB21pgyHJs2wMjEUd+RUlqLcTM5dTcXOvh52FsaUFuZw5cpVTG3rinFnNDTUyAvTOXMxnfqNm2EofCkr5SRfu0JGdr54DRMzSxwc6qCnq0vmjStkFSuoX68+epXLYGphmUZO5o1krqVli30SdpmZW9eibm0bETryMlK5lJyCUqVG19AIEy0NCtChYT0HNBWlXL1ymbyiUrGusYU19erUQkdYYlKpyM/N5PzFq1S6Jhsam+Dg4IChYCW5/c2uUpCVconUAiWNGjdBW0NF8pXLKHQMqV/bTrRqKcuLOX7sNHZ162NtYX4H/JUIeZKuXKGwVI5ADBZWttjXtkVbSxu1WknWjWQuX09DpqVN4xYtMdbTpbS4kCuXLlBYIhclN7e0onat2ujp6aChUpBy7RLZReU0adr8tmVDNcpyOdevXScjKxu1BmiooU79BthYVrSpKDeHi5evUFauxNzSGhMjXbKzc7GvV1/s9+1FAN0LZ06ha2qJvZ2N6Dx+4fJVHOrWx8zUWPRzSr50iSK5igYNG4hLXMJOsysXz6FnUZtaVmacOrgbzwWrSVgfj6qwGJVajZ6RKQ3r1xXHXZBZAKcbyddIz8oVLy9E4HaoW08M/CpYGgtzszl/6SqNW7TGSP9v36ZyeTHnj5+mSKlEz8CYRo0aoq+nRUlhIcmXLpBXqhD11tHVx6F+/QqnYaWC/IzrXLyeIVptrGxs0VMVkC/Xo269Ouho/738WJUHpWShuVulP//4g8SEePEecnV3p2PHTvdNESMBTVVmmXTMC6/Ag4BGoSjnqx1fsnhxEmlpGVhYmOHs7MSQYcMxNLpzp8ejiPl0gEbgAxVKpUp8cNzu/yFAjfDQFUBAU0PwJ6jojWCGF3ZxVe40ErYQC34GlUWsp6h4IfzznMIxwstOCFYnbj0WHYtV4stKOL5yearyGsJ5KwFB2NUj1BPOL/xdqF9xPqW4NCL8950RmNW3HIEr2lbhD1EZrbay38L5xHPdbIOw/CAut9zsp1BPiEl0+9KZUEfwa6ksFX355/VFtcT+iu0TNRKCBFbsGBWuI2haqbPw3/+MpCv8VtnvSii7vR3CucUxuunrUdl/IdicoJVQRA2FtonNudke4frC3/8xQSvPV/lnIXlq5ZwQ26JUimN1e9vv3e+KJZXKLea35thtfRTOJbSwsn5lXzU0NBEiLH+9aT2bjheyJtRN9AWq1EzQ6PZxFtskaHzzXLe3p/K6t8+jm7MYpaKiL8L1BLAUzynMXXF+VoyRoJtY99bkrnAsr5yDwvG39+Fh7veqAE1pcTGfbv6YY8dP0LxZY8ZNmIyBkQCEz2c5sH8/7q5u4n0QExvLK337in5p9yoS0Dyfc0Dq1WNW4N+ARtjN8uOBH4iIiCI1NQ19fX3mzXNl+Mgx6OnrPxbLTGV3bgeaDh06sGbdWoyM7w1MwgP2gw2rGD9llui3IhVJgZqsgLw0n82r4lA7dGb8sMF3xvapyR27re1VARoByMrK5JSXl4svdmEpuxLknxMZ7ujG/h9+YK6zi9jHuIR4+vbrJwHN8zjQUp+engL3AxoBGo4f/Qtvb2+uJ6eIN93kyROZ5eiIiYnpY4UZobe3A42TsxPOc+fe9+aWgObpzQ/pSk9eAcFCk5V+A009E8yF5aOHDEr55Fv46FeoCtA8+lVq1hkkoKlZ4yW1tgYocC+gEZYdsrOzCJzvzcFDR0QzdK8e3QgJj8DS2uaRdzTdS5bbgWaumxsuc13uq54ENDVgYklNlBR4SAvNiyaYBDQv2ohL/X3iCvwTaPyCgjl79gxLEhM5cuRnFAolw4YNYbajIw4Ode/rtPaoDZWA5lEVlOpLClRfBSQLzd1jIwFN9Z2vUstqqAK3A83YMW8xx9mFyPBwvv9+n2j67tatK36BgdSrV6/KSSv/ixQS0PwX1aQ6kgI1QwEJaCSgEXcJiJvUpSIp8IQUuB1oXn2ll5hg8bvv94tRgFs0b0bconjq12/4SFGAq9L0y5cucfrUKcoVCpo0bUrz5s2lJaeqCCcdIylQAxSQgOYFBhrBR6CosJBLFy/QsnWbJ+KzUAPuAamJT0GBSqDJyckR444IW24FmLGxscbPbz6vDxxc7ZwUJR+apzAxpEtICjxGBSSgeYGBprSkmLWrV6JQIu72EIKXSUVS4EkoUAk02dnZYrwJIT6FADM+833o268/+gZCvqDqVSSgqV7jIbVGUuBBClQFaIRYSIUFeZSVlaCjo4uRsdkT89l7UHufxu8vhA+NEPtj7ZrVvLP+Hd4cOhRffz8x/odUJAWehAL/BBpLSwu8vecxeMgwtLS1H/v27Pv1QYCUq5cvkpWRLvrqtOnQ6b6WSQlonsRMkM4pKfDkFKgK0BQXFRIVHsrBHw/T9aX2LAiLRIjM/byWI0eOEBIUJFrA/QIC6N6jx/MVh6a8XM43X+1kUUISaenpvDV6NH4B/hLQPK8zuhr063agMTE2IiCwIqWB7lO2CgoRYhfFxrDjyx0YGBqyZes2jE1M7glUEtBUg4kjNUFS4CEUqArQFObnEeg3n2+/+4He3bsQm5gopv24MyL2Q1y0mh8q5MRLvnZVjExubWsrxve6XwyiGhcpWAg/vX/f90RGRJKami6Gox49ZowENNV8Utb05lUCTWFhAXMc5zB5yhQMDI2e+kNECOkeFhLM1q3bMDEx4ctdu7C0vPfDTAKamj7rnl77S3Iz+eb7/ZQrlRV7LISioUH9lu3o1LLxU5/nT6/n1etKVQcaH77ZUwE0cYmLMTF/foGmIv2FqiL32s1/7jdqNQpohME+deIYvvP9uHjx0s17TkMCmup1Tz6XrRGAZq6LK126dGaetw82tnbPpJ8VQLOATz6pAJqdX38lAc0zGYnn66KnDn3DLI8AjK1sMTOuyAsk5Gzq+sYI5owf+tBJFp8vdZ5ebySgeTStawzQCKb2w4cOERUZxdWr18QkZ5XOmZKF5tEmgVT7wQqcO32SHV9+yduTJmFtY/fMdjQJvmMVFprPJKB58LA91SOEZ5SQ0FOEAZnWbQkv//7CFH4ToFRMunlbkk3h7xUJKSsSSFYm97w9saSQMFE4RnAK1dCUickTb08KKibD1NAQM54L51arlGI4i9vN88JzUyj/TB558tBu3AOicfQPYnDvHrcsNEKySm0tLclC85RmkgQ0jyZ0jQGa68nJeLq7cuLEabHHdevWIiUlnfJyhWShebQ5INWuggJyeZmYEVnwmXmWa9U/H/6RiPBIzp+/KAFNFcbtaRwiJAssLSriyA/fsfqdD1GoVMwNi6N7i/piAsWCrFRWJC2mz5BxGBSksGztBvTrNCEwKBA7CxOxiUIm8oK8PNYGe/DzjSJM7OqyaGEYZqYmYrbn7RuXkWXSmK6qk0R8+huTHOcy+JVuZF09R1x8IpfTcun55ijaGhez/3IJgR7T2LZmMck6jfCYPvpWVvAvPlzHZ0dLWBnhiIGuzi15BKDxCIxh7oIwhvbt/TRkk65xDwUkoHm0aVEjgCY9LZWEuDi+/vobFAoFbdu1wd/PCw8PH9LSMiSgebQ5INWuggLCl7FQniXMCNff9ukWYmPiKCgolICmCuP2pA8R5sWNiydIioojQ9OQEUMHcv63/Wz79mcCoqIZ+Ep3rp35g0Bvf2T65hjb2tLQwZKvduyh69CphHpNQ1OtZP+uz1i+5kPavPwyndu34cddn3JNZUXMwjBsjSHKZx5X03JQynRAz5iJU2dgK8snInYRtg1a8UrPbnz7xadcS0mjff9RhM6bxRfrEvnqXDHxCxdgpq9NeUk20f4BNBw0kTF9u6OjJbsDaNz8FzLZ1ZPXe74s/l1LSxsLC/NnZo180mNXHc9fdaCZzzd79r0QPjQPM07VHGjU5Ofns3LZUj799DNKS0uxs7MlYVEcDRvUZdSocaSkpEpA8zAjLh1boxW4PfWB5EPz7IdSIS/mkzUx7PwljcAFfjSwtyPjj12MconEJSiSCcMHcObwbpznhdFj4HCcZk3FUFZC7CxHMuu8xNJlEcjkhYR5e2LVpg/Txg1FX1eb7z97l6TPjrBieRL1dXNwmeVIgU5dFoT5U8++NloaKlbHhPBHmiZhofOpZW7M1RO/EhAUwSsTnHEc/yaHvtxIzJbDrF2+iNoWRpw79CVRy7YQlpBAffs6wqrXHUAzxyMQQwtrLExNxcDrdeo3wy/AGwsTYykO+1OaahLQPJrQ1RpoCvPzWb40iW2ffU5RURHNmzchOCSElq3aUFaSx4gRYySgebTxl2rXMAUkoKlOA6Ym88xhps72xqFjH7q1acip02e5cfk8erVb4D3PRQScbzevJWnTHiKjIujYuhnF6Rdwnj4Xs95jSfSZTNp3q3Fcsps3x45HkXWVy1dvcCUllSGjJzHqzde48dd3ePonMM03hEF9e6CrrUXO6b14hK5m+vwQerVvIfrrXDrxG75+AcwISaJ/h6bc+HMfk+cnkrhqJa3qW7LEz5Ub+g1Y4DsPMxOjO4QUlpycvUPpP+ItOrZoLvr4mFpY0emlDuhpa1cn0Z/rtkhAc/fwCku6lb5fMk0ZGpqa950D1RZoiouL2LB2DRs3fkhJcTF2tewIjwinS9eXRe/7ovxMCWie61tb6ty9FJCApvrMC8Hp9qdta/Ff+gkDhgwWLRmoVbTu2IXWLZpiaGCATBPeT4rkl0ITgt3nYGNqwKVf9+EWFMtE7wWM7NmKNbOmsb9Mj379XkFDrQINLbq/9hqNatuhq6PNga3rSPpkH7FJS2hib4MGSg69k8S6vceITUrCxtJMdAD+efc2Fi7fTOK7G2hobUZJ+mlGjnbCPWoRDdTJuIckMdkzkNEDXxF9e24vAtAIS05O/kEM6tNT/EkI3CjkLNPQUFOSn8fFixdBx4D6DephKAUxfSITUQKau2U9ffIEG9evEX+YMHU6LVu3rVlxaARP/y+2f0Z8XCK5ubkIgcy8vDwZOnIUurp6oqd/YV6GBDRP5JaSTlqdFZCApvqMjlJRzs5341j95VFWrFyMraW5uDSjpa2D9k3/FJW8gGh/D2xeepMpY4ahI9Pk0M5NRK/exMJFSTStZYTb2IlYdO7LAl+3Wz5aOrq6oiOv8KzbEOPD/isqlsSHY25sBOoyNsVEsOfEDRJXLsHUxIjSogLi/Nw4UWrKhiXRGBnoU1qSx9y3htN7qgvXfvyay9gRusCb2pZmdy0h/ZtTcGlRPh8vjSFL2xpdRR49Bo+mQ6uWt3ZxVZ8RqfktkYDm7jE8sH8/nm7uaGhqEB0byyuvvlpzIgULTr9HDv1IZGQU165dw9DQkMmTJjBl+kyMbsZHkICm5t+4Ug/+mwIS0Pw33Z5ELZVSwS87NuK3bCteEQvp0aKBCCHZmZnY1a2HnpYmJRlXCPT04LUZ8xnwanc01Aq2rlvGpt1HSFy2nFrm2nzo6cwhLTsiQgIw0NEGpZzsghLqOdRBQ11OpNsMiuzaEezjioGe8EFXzvdrF7P2m99ZEBODtZEmR/Z+xPJln9PhjbcI83dDT1cHeVkpIc5juZ6lIKcMfKIT6Na66S3Y+qeFRti2PdPbl4GV27ZvwpmipIBIL3f6TphNm5ZNsbS0Ei1Hz9pB/kmM6bM+pwQ0d49Azc3lpFbzzTe7iY2OJT09HW1tbZycHRkzbpwY7rjyBpKA5lnfdtL1n5UCEtA8K+Xvvq74HMpOYX1iPF/+dBxdbW00NaBZx16EBc/DSFeXqz/vxHPhOwTFJdKxWX1UZUWsXhTDT+ezWbI0Qdx9lH3jNOFBMZxNyUSmqSEmGnx9zCScJoxClfoX0+d402O8K9PHDhX9Z4RQvnk3zhEdGs6RszewtrSi7cs9OXtoD6+Mm8mkEQPR1taiXF7GxmhfVm49gJNfIBNGDUZfV/cOZ+DKXl349QemunijoaOPsaHhrSWnlweNxmv6aE4f/ZlDu3dzNEvJbMfZtG/RSIx5I5XHq4AENM8R0Bz56UcWRkVz4cJFEV6mT5/CpKnTsLKyvqOXEtA83ptIOlvNUUACmuo1VoKVJjcrg0tXr6NUVQTVs7Gzx762LTItGYVZaSSn5+BQrz5GBnqolQpSkq9RWKamYaP6aMs0UZTLSUm+SmpGtlhfCKBXt2FjrMxM0CjL48yFq1jUcsDa0vwWRCgVclKvJ3M9LRNdPQMsTIwImu/BRLcA+narSFgqz0tjnrMTBo1fZp7rLGyFpab7QEhJYR5nz11AXq64LfOBBubWdjRwqCUufeWlXefLj9egqP0SU8YOv6elp3qNTs1rjQQ0zwnQnDj2F4H+AVy4eFnM29C7dw+iYmIxNzcXb/DbiwQ0Ne9GlVr8eBSQgObx6Fijz6Is5/C+PeRjQH37WqgVxez8YAmHLpYTk7iIhrVtUCvL2LY2gU0HzhOxMIrm9ezQkv0dd+Zh+l+Qk827yxNRGJhz+vefGDzFlUF9e0pA8zAiVvFYCWieA6ApLS3Bz2c+e/fuQy6X06Zta4IWBNGqdVvxS+OfRQKaKt4d0mHPnQIS0Dx3Q/rwHVKUsm/ndjZ/toMTZy9iamlDy+aN6fX6UAb07SHurDr7+49EJyxj9GxP3ujTFe3/CDNC4xTyMk7++SvpuUXI9Izo+FJHTAz0pNg0Dz9yD6whAU0NB5rsrEwS4mLYvfs7MXBe0yaNiYiKoHnL1vf1ZJaA5oH3hXTAc6rAsb/+JCoqkr/+PCZFCn5Ox/iB3VKrKS0pJv1GCleTUzAwMad+g7oYGRqKSSSFnFK5GaliZOFmTZugp6crwccDRa0eB0hAU0OBRoCSosICFifEs/3zHZSUlNCyRTOCQ0Np3rKVGP/gfuWfQDN48GCcnJ3Q1dOtHrNSaoWkwBNSoFwuZ0lSkpgGRIoU/IREriGnrUzHITZXQ+MuaKlM3ltDuiM1U8jppVSyf+93nDh5Gkdn53t+1Bfm5xHo9+KkPqgRu5yKCgtZtWIZn366jfz8Aho3bsSC0GDat+/4rzAjzPrbgeb69RtYWVpgZ2uLlvZ/WyOW7iRJgZqigFqlJjklhaysHAloasqgSe2UFKiiAhLQ1EALjUqpZM2q5bzz7vsUFRaJFBoWHsKgwUPEbMYPKv8EGsFzX4qJ8CDVpN+fFwWE+S/8I1lonpcRlfohKVChgAQ0d8+EA/sP4OnuLr7jo2NjqldgPbm8jN27dhIXl0BWVjbm5mZMnDCeiVOmYWxiUqV5LTzMS4ryWLAglIyMrCrVkQ6SFHgeFMhIT+Pq1WviTkAJaJ6HEZX6ICnwtwIS0Nw9G7IyM/nrz9/FdAfNWrTE1taueqQ+EJJM7d+3l/CwSNLS0m4FzpswcRIGhoYPZWVRq1Tk5uXdSlol3RSSAi+CAtu3fcqKFatFB3oJaF6EEZf6+CIpUBWgKSkuYuvmTRw9ekxM2Dxu4mQMjYwFR6rnUirBgCF8wAkhlIQQLv+2GvPUklMKy0zHjv6Fn6+fmNJAV1eX4cOHMdfNDTNzi4eCmcpRu8Mp7rkcSqlTkgJ3KrDpw/dZlLCYktJS2rZtw+p1azE1vXfANOH++GDDKsZPmSV+PEhFUkBSoHorUBWgET7my8pKKS8vF901dPX072uxqN69ffyteypAIzxYL54/h7+vHydPnRbX/4cPexO/gCCMTEz+E8w8fimkM0oKVH8FBKBJiE+kTF6Gm4c7M2fNvu/DTAKa6j+eUgslBW5XoCpAIyl2fwWeONAID9WU68lEhIVx+PAR0XTUvUcP/AP8cahbV0xRLxVJAUmBqilQCTSlZWW4e7gz29HxvhUloKmaptJRkgLVRQEJaB5tJJ440BQU5BPk78/33+9FqVTRqlULFiUmUtve4b6B8x6tS1JtSYHnV4FKoCkuKRGXa13mukhA8/wOt9SzF0wBCWgebcCfGNAIX4eZ6emsW7OKbf/7nNKSUtq0bolfgD+t27YXUxpIW60fbfCk2i+eAhLQvHhjLvX4xVFAAppHG+snBjTCLoy1q1bw7rvvU1ZWhr29PdGx0bRp2+6BgfMerUtSbUmB51cBCWie37GVeiYpIAHNvefA7RuAnvoup7LSUrZs/piVK1aRl5ePlZUlIaHB9Orzqri7SSqSApIC/00BCWj+m25SLUmBmqCABDR3j9L5c+f49JNPxR9GvTWKxk2aPL04NELgvI0b1rN+w3sUFBRgZmqCh4cbQ0e+JcKMtMxUE24rqY3VVYE7gcYVl7lz79tUySm4uo6i1C5JgXsrUBWgEbZtZ6TfoLioCH19faztaj/Xm2sOHjyIt+c8kR2iYqLp3bv3ff1vH+uSk/AA/eXwTwQFLiA5ORk9fT0cHecw7u23MTE1k+awpICkwCMqcDvQjBs7iqDQCNEf7V5FAppHFFuqLinwlBWoCtAUFxWSGBfDT4d/plPHtsz3F8KfPL/v12eSnFJ4eP7268/4+vjdjAKsxdsT3maOkxPGxlKsmad8X0iXe04VuB1oLC0t+eqbrzEyMr6n5VMCmud0Ekjdem4VqArQSNm2+z15C82ZkycIDwvn6LHjYuC8EcMG4+zmQa3adZ7byfesOiZEXf7tyAEMLOvSqlnDZ9UM6brPQIHbgUZKffAMBkC6pKTAE1RAApq7xX3qFppTJ0+QEBfHb7/9jkKhZPCbg/Dw9MBWXNvTfILDf/ep1Wo5+77Yzl/nr6G67WdtizpMHz8KQ71nFwJeABEhuaCesRmmRgb/WRd5aRERvnOx6TAQ16lj7nkelbKcoz98zg9/XkWpVovHaKCBrrEpI8eOw87U8D9f/1lUVCpKOPj1Dv48e+1Wf8Qemddh4qg3sa5h/fmvGkpA81+Vk+pJClR/BSSgeYZAI1hi0tPScHedy+nTZymXy2nTthXhUQtp3Pj+nshPclopFblEubmRrDDG2cURIwM98XLaegbY2Nigp6v9zFJ4FWSnExcVTp2X+jNn3LD/7CBdWpRPkOcsbDoOZr7j5HvKWVJwg5Bx4+Gl15k2bhTaWhVJvbT09LG1sUZPR+dJDsNjP3dpSSpJgb4kK+1wd5kpJioT/0dbD3s7YVxrVn/+q0AS0PxX5aR6kgLVXwEJaJ4h0GRlZhAWEsL+/QcoK5PTrm0rAoIW0LJ1a7S0no0lRKHIJnSOE3mGDoSFBWNhbnKHQiVFBWTl5GNjZ4eOlgzUaooKcikuB0tzU8oKc5Cjg7GBHplpaZQp1aJDs6mpkM3076JUlIswp1Cq0NDUwq52LbQ0b2Y7VSnJyMjCzMqS4rxc8otLMTE1IeXcKeJiFlKrwys4ThiJsYkp5mam4kkFOExLuU65Si1mTrUwv9PJq6y4kIzsXDRlMoz0dQmb74Rth8HMd7oX0KjJufArw8e6Mt4nhGkj+qOrc+d4qJRyMjNyMbeypCg/h4KiUgxNzLAwNbqjn0UF+eTk5qGhqYmVrR26gmZCUZWTmZmNkYkpgqZFJWVY2tihr6OFvLSEjMxM0JRha2Mj6ou2AUZ6WmSlpmNkZY2B3s3t+2olWRmZ6BgYY/wvVquSohQS/OaRo9+c+OgF93WErf6PrEdroQQ0j6afVFvccOWtAAAgAElEQVRSoDorIAHNMwIahaKcJYmL2LLlUwoKCrGwMGfFqpW0at0abe1n97X8r0CjVvPHwd0krHgf98AwurRpgrJczvtJERRbtWH6+KGc3LGC48W10ck6xVc/n0VersSucSuiQ/3Rv/kSluemEh23iDMXroKGJiqlmlcHD2PapLHoyDSgOJuwsDjGOU3k3fBYzheoGDZiEF9/8gkXr6egpVthLeo5aAQe08cjL8giJjaBcxeviMtkBgbm+MWE0dDKGk1NDcpK01mXkMiPRy+ioalN56GjufTth9h3GXpPoFGrVfy5ewsuUesIXrKS/u2aoiW7c+mv6MpvBCd9xowRL7H2w8+5kVNMvebtCfT1wEQAC5WKlN/3E7z8PYQgiUI/O/Toy5yZEzHW00OZcYaFCSvo0vtltn+8gxyFGreQGDrYaxO9YCHnbqSjqSWj15tvo3nhe8xfHkv/9rVY5OrH666e9OzWWexbec4VoqLi6TViKv16vHTfZ83fQNOM+OhgCWhKSpB8aKrzq0lqm6TAwysgAc0zApri4iJWLFvGxx9tEl94jRs3InBBEF1f7vafl1IefvjvrlEJNOcLZIx8ayRGhhWp1Zu2aEPDerVJv3aBRQHzyLdqQ3CQD2e+28qG7fvwCA6ndYNa/PhuECt3naNJh6507dAWdWkWX27/nGb9x+E6ZTTaajmb1i5l++EzDB8yGAdrU65dOMHuPQd5y8mbN3t1Qrskg2kz51KqLKdlxx7YWFnTqmUzLh7/nY83b8G8QUtefbkzzdt2EKFq05ql7D2RwpChA7E2NeDI7h38cjmP6PiFNLAzZ/PKeLbuPcaQ4UOxNdXjp+++5cCfJ3lzwqx7Ao1KqeDztXHEb/qOGTOnY2dpJi6zNWnekkYN6yMYkg58spKwtTto3bQx3fr0RFGYyQebd+CzaAmvtGrAhd/2E7f0PVp06U6H1s3IvX6BuJXvE5GQRL/uHTn7wxf4hCRgZt+Azl06YWJqSY9XevDtpg38dD6LwYMHYKxRwuefbCWloAz3sES61jdirfcUag12ZczwQWhryfj5yw+I2/A5wbFxtP0XB+cKoPHkdI4h48eOEMdUpqVFyzbtsa9l80zn3OOYt1U9h2ShqapS0nGSAjVPAQlonhHQCJdNSU4meEEQP/10RHyhtG/fjsioSOo1aPjMXjCVQPPNHxcwszAXv+S1tXWZ4ezG0IF9USnKyTq5D0ffRfQYPII/9+6kbb9RuM2agJaGin3r/fjwuAZRIYHYWVmgVpay/f2VrP76JCuS4rDRzCM4MJDekzwY1rMT2tpalJYUsiY6gGMFZiSEzcdMo4CpMxzRbdGPhPmzMDLQF909slOvEegzD4dug/F3miJqdOPSGXx9vJnmFUrPzu3QlslIOXaIN6d64hu/jMEd7PGcMZm6vcfhOWeS6NSclX4Z79lOtBw48Z5AoywrIjHAlS37jmJhYYFMcMyWaTPbxZ0hA15FMNa8G+XFpgPniYyNpVPr5lw7cxRf/xAmBEbSr7EVS0MXQJPuOE8eRXm5nPM/78EzYgWRSSt4tUtbvv54DVHL3sdjQThDX+sj+iZd+H0vYXFrmeYbQq+2TUGl5OCHi1n89UlWbliLlUzOF++EkaLdGqdpE9DWlBM7340r1CE2zBcTo/s7KgtAEz/fg10/X8bM3FzUTt/ACBcvX17p3qmijy9AkYDmBRhkqYsvrAIS0Nw99IeEwHrzvESLfnhkJL1feeXJbNsWxD939jRR4eH8/sdRtLW16dixPRFRUdSxd3gmk7ISaJIVJri6u4jLJ5oyLSysrDA3NRF9ZspKiti0OISV2w9i1bwzq+LDcLAR4EUuAs3uNBuCvN0rll7UavZ9+TFRSZuJW7YYazKJikjEJTKelg0dREtBubxMhJ6P951m3ZIYrHRKmTbTid6zg5nYp51oiRDKvYDm/LGDeDr70LrXa9SytUIm06A4O42tO/Yw0SuMsZ3q4DRtCm96hDNh2AB0tDQpKcwn0HMWdh3fvCfQlOSk4jtzMiW2bZjrPB0DHW3UGjLsbG0xNjZEXZLKfCdnDNu8hrfzNNFf6ORvhwiOXkxE3CJ0ilLx9fDCpuVL2Jjoc/b8RXR19ek9eDjDB/bDzNiI9QkhbD9ykbUrk6htbQlqJf9bHcs3p3JE3yUbcxOU5WVsCHbklyIr1iyNRa1QcGjXFj7+7QaLA1xJPfoDXiGLGe0WwKj+PdDR1vr3JSdfT64pa+Pl7ihObmFcbWvVwkBfD03RS/j5LxLQPP9jLPXwxVVAApq7xz4nK5MTx/4S37WNmjTH2tb2yaU+UKmU/HjwIJHhkVy7dg09PT0mT5mEk7MLunoVO4yeZnmQU7DQFkVZEe9F+vPed0dQGDjwwTvLaFy3FqryMhFovsmwJcjLHWNDfbHp32//gKjl24hPisdSlUZUxBLmxSXRtJ6wLV0DhVzOFx+s4MO9Z1i7JPoW0PR1jmB8r9a3nIXvBho1544eYJ5bMD4LY2ngUOeWZUuwQBgam1KedpE506YxxDOcicMHoi3TRNjlJADNPZ2C1WpSz/3CtBnz6DPOjXmzR94FCgUXfsPZw5cRcxcw4o0+aKDm8J6trH5vFwsXxZJ65hv8A9YSHL+IuvZ24uTR1dXD1MwMLS1N0fIS4+tKqp4D0QHzRKBQlJWwJMidbJOmBPl5oq8toyjnBm6TZ2DXqTdRoX6idezkke/wXvY57y0N5dPlMRxJlxETFUwdS5N/3X32IKdgwW8o/fpVLianY2CgR736DdCXqUhOyxYTo2qolaSlZWBlaUFqRiZ6KLh0NYVa9epRr65DjQEiCWie5tNEupakwNNVQAKaR9P7saQ+KC0t4ccDB4iJjiEl5QZmZmZMnDCOKTNmYmDwdOOdPAhoVKpyLhz8gsD49xgycSy7Pv6Ipj3exM99FjqaahFotpzSIiIkABsLM9E5dtv6ODYdTiEuKhQTeSqhAQH0nx3IkF6d0JLJKCstYW20P2fk1kT5u2OqUSBaaO4JNN7zsOs6kAUuU0V4uX7hFPM9PRjnHckbL7dH66Y1R6VSibBUnHYJl1nTaTFwKp6zJqOrIyP70mm85vvQst/Yuyw0aqWCk/t34hq6FO8V7/BGy7rIKndf3Zwrf+39At+wREKWb6Bb60aoleXsfDeR7X9mig63Fw5vwi98M0s2bKCpYIUSrB9qNZpaWiL8KIsz8ZgxiYZvzMR5wnB0tbWQlxSy0HsO1OmI/3wPtDVUHP76fwQtXMyQiU54Ok1GLez+OvcXM92Cmew4iU82bGSMqx9D+3b/V+uM0Ox/Axphh1hB5nVWLF2FUdOO6GSfJ0dpysQRr7LlvbV0HPA2pnkXOZxcxvA+HYiJjcOhVj1kRnokX7mOS1AoDWtZV2wFr+ZFAppqPkBS8yQFHkEBCWgeQTwhkof69rzcj3Cu0pISfjp0kNCQUHE7r6mpCdOmTmHK9Ono6D49S40ANGGOzlwp02fK1MmYGFcAlYaWPm1aNyfz8ikC5vvSqM9wPGdP5K8v32PRx9/hEx5J55YN2b/Bn8hNv9K8/csMGz4EefoZPnr/M96Y5srEEW+gKMnn/ZWL+PLHE8yaM4da5sYc/WM/e/f+xUy/QHq2a45OaeY9gSYvM5WwgPlcK9HDceZkrCzNaWxvy3uLI9lx5BKT58ykcR1bFKUF/H7mGmNGDsfMQMaK6GC++/0yE2ZMx1oftm3ewqnLKQwcO/UuoBF2be3cuJRFnx4gOMALIz1hOUZQQEajZs3Ebdm7PlrL4vd2suHjd6lrbUF5WQmLg1wpqN2dYLfJXD7xEz6eQbw6djpd2zYTgSY35TKd3xiKmZ4OuZd/Z/q0+cyMiGdAT8F/RUO00Hy4JJydf6XiOGMy+ZeO8r89Bzlz7jLzYlYztn8nUKsoyklm2oQZpOaX0G/4ONzmTMHMxPiBsYEEoFnkN48LxRbMmTnp1i4ntZY+zZs24vKRL9lyOJnXe79McdZ1tn++k7n+wajSL7B01XqUMiO8g0OxU+US5B/B3IR46ltZ8OGShVh3Hcqwvi/ftRPsEW6HJ1ZVAponJq10YkmBZ65A1YHGh2/2/EDv7l2IS1yMibnlM/Nbfeai3daAxwY0oKa0tIyDB34gNCSM7KxsLC0tcHJ2ZMzY8WhpP524NCplER8uWcyeX06CTHbrRalrVY8F/p7cOPkz7378BW4BATSvb09pST4bF8dTXqsVU94azC8fhbDlWAnNba04euEqKqWKpm1ewnHONKzMTVGrlSRfOM2Wd9Zy7Go2QgxemUyXIaPHMPj1V9HVlonbtqNiF9Fp+Az6t290a8lJIS/h4J7P+ejjnchlWnR//U1mjh1CTuoV/vfRO/x4/LoYj0ZDJqN2m654Th+PlZkJaRdP8MEHH3D8wg20dfXp1u81SpLPYd64PRNGDrpjPpXLS9nzyQd8sns/yooAwRUTXccMTx9P2jVvwK4t7/Hj+Uz83J1ER1whxs17yxKw6TqIEa90obggm68+28rXe3+kTKES69s3bEmAnwd6Otpc/nkXiZ/9gpurC03r2lZorFZy4divYpb161mFmFvVoVVzO7Zs2s3qrZtoYi3E1VFTWpyP6+SJpKlNiU2IEZftquLQW1aSw9b1K/j2yGlUYszjisB6ahN7gnxcyP5tB+v3naF9s0ZookbP0IwBgwdSnnWVYL9ACnVsWb52KToZlwhZEI3/2lXY6Bvw8dIoNJv0YNzgvmhr3d+Hp7rctBLQVJeRkNohKfD4FZCA5tE0fYxAUxEcrrCwkHfXr2Pt2vXiC8zGxhbPee4MHjLsKaVBUFFWKqdcobhDGU1NGdo6OmioVcjlcnT09MTlImFpR15WCppa4i6nHzb483WqJT6uTreCv8lkWujo6CC7GctFqVRQVlqGqjKlgBCBV0sbHR3tCnhQqygpLRMhTkumdWspQ9BHUS5HLi9HjQZa2lpihFvBD0kITKhU/p2sQYAafV1dUTOlQiG2Wamq+L0yu7IQZE/3HxF/b12jvFxYJbqdXUX/JmFJS15WJoKY4MQtnF+4frlCKQKCrra2qIkQ9fl2DQX9hOzpAkgIfShXqNDR1RE1FHlGrRado4V2qoSTK8v4avMqtv6Szfur4tAX+qks5/Qve4hYtoXpLq680kVwmK4aRKiFNgnald85rqCJro4W537bw6Zvj+I0ewaGujKu38jEoY452zeuIwcjilNO0qjHaPo0tcTfJ5Ch7r7079iUhQuC6T/Vg14dmt3qy6PdUk+2tgQ0T1Zf6eySAs9SAQloHk39xwo0lS+2vNxcli9ZxKbN28TW1a3rwLLlS2nUpFm1NosJu3Lu5RT8aBK/GLUFyNmQGIbCtD5WZsbkZtzg611fMdZ9AW+91l2EhbQLR/Gc40b/WZ6MGzbg72jBjyiRADtFuRm8szKRg3+cF6MpN+rQh9dbWrD5m8PM852PRl4KK9Z9xOSxI1gSFYNVCweuX06nVpvuhPt5YCikxKgBTjQS0DziZJGqSwpUYwUkoHm0wXnsQCM0RxiU3Nxc1q5axebNW8Sv9xbNm+EfFEjbdu2fkqXm4YURduH8vvsd/sw0ZvyYkRjqPz3fn4dvbfWqIfju/HloL199u49zV1Np9lIXurRtTZeXOmJsaIAAHTs2LubwxTJc3OZQy9ryse4sEhJ/lpWVCfkqK9JwCnFpbpqoBEuZ4JCsKFdSeO0MIUEL8VqWRG0TM3H5StilVRNgRujZwwPNSsZNniVa46QiKSApUL0VqASak6fO4OjsfM94K4X5eQT6vTg+NMK7QyGsuGgIqxNa/8oPTwRohCkjLFsIuY6WLF7Ejh1ficsuTZo0IWFRPA0aNq5ILFjNirhsIiw/acjQ0tF+rC/catbVx96ciqWucsrkZeLSmbAEp62jLS4pCbAg/C4vK0FY2dIX4sY8o0B4WeeOEREax/xVy6ltUpFHqyaVhwWahWEBtGvb9tbuuZrUV6mtkgIvmgLCe/PU6TNo65niPHeuBDTA6VOn2PjuO+JUmDRlCs1btHxycWj+bcIJtJly/TqxC6P4fu8P4lfiyy93JjQ8nFq17V+0uSr1txooICQVLSkqRt/YuErOyNWgyXc04WGBZt+e3ZTJ5TXGAlXd9JbaIynwNBUQPwwV5TRs1JTmLVvd88X9olloDh44wDwPTzGMSVR0NH2eVKTgqgy04EB76uRJfLy8uXr1mvh1Puqtkbi4umFSA7+Qq9Jn6RhJgSelwMMAjdCG4sICNDRvZkh/Uo2SzispICnw2BRQqRRiZPb77Qx+0YBm/w8/MNfZRYS7uIR4+vbr92RSH1R1BIXAe4d+/JH42DgRaoyNjXn77XHMcXJ+JtGEq9pu6ThJgeqmwMMCjVIhR6alU926IbVHUkBS4D4KCLtBNTQrlurvVSSgecZAI/pPyOX8+ctP+AUEk5aWjomJCXNmTWXM25MxNDKSJrekgKRAFRSQgKYKIkmHSArUYAUeBDTFRYWsWbGcn3/9jfZtW+Hi5omRsUm19Et9HMNQ7Sw0lZ0SdqF8u/srYmPiyM7OEVMkzHV1ZvSYcU8t8N7jEFg6h6TAs1LgdqBp164ta9atw8TU9L5fc5KF5lmNlHRdSYH/psCDgEaIG1aQn09JcQl6eroYm5giq2I8r//Womdbq9oCTUXgvQI+fH8j69aup6SkFAcHe4JDgunarftDbC1VixmnwyOiyMrOebZqS1eXFHiKCqQkJ3PlylVxG+McR0ec57qIQR/vVySgeYqDI11KUuAxKPAgoHkMl6hRp6i2QCOoKGxLy8vL5eP3N7J23Tvig9nOzgY/Pz/6vf5GlbbzimCUl8nIkWO5fj2lRg2O1FhJgUdVQEyPoaGBm4c7jk5O/3o6CWgeVW2pvqTA01VAApo79a7WQFPZ1Iz0VFauWMkXn38hWmo6dGiP93wf2rXv8ECoqQCaDEaMGMP16zcwNzMToUjY1iUVSYEXQQENDU3enjiREaPekoDmRRhwqY8vjAIS0NRAoBEsNZkZ6SyKj2fnTiHwngatWrciJjaGevUb/GvcjH8CzcCBA8QkmFI01Bfmnpc6qqGBqZk55uYWEtBIs0FS4DlSQAKaGgg0QpMFMLlw/ixx0TH8dPgIQgLEPn16Mt/XF3uHevf12r4daFJSUhk9Zgy+/n7o6+s/R9Na6oqkwIMVeFDKhud9yUlRVkJySuqtRLEybR1sa9VCT6vqsXfKinI5+tsx6rdpK2a3V5cVsm/3TkyadqFT87s/rsQkqz/t41RmOYMG9qe8KI/jx05Tv007aluYPHjQ/sMRQpTttBuplIuZXyuKkN7D3KYWZga6/+GMT7eKEEU89Xoy8tvbjwaG5lZYmxlXx8DxT1eg264mAU0NBRqh2UIOnvT0dDzcXDl69Ljo4NinTy+Cw0KxtLS+56S6F9D4BfhLQPPMbkHpwtVVgecdaM79/B0ewfEIWdc1NEFL14hXh41g/LDBWJubVKT2+pciPEuO7f+CwLh1uIcs5NVOrSi4dpS5M7wYFbiQIX26oiW78yyl+Zks9PLkpHZD1sf4cOLQbiLjVzMuZDGTerdG8zFPBqGNZ3/5jsCwREpUajSFjgLa+obMColmYNtGj/mKj/90ackXmDdjDjloIZNVwKaGTEbHkbMInDwYbdnjVu3x9+FpnVECmjuVvnD+HFs/+USM7D7wzSE0b9Hi1hz655g8sVxODzP4QqjnX34+QszChZw/fwlDQ0PRUhOxMAY9vbsTREpA8zDqSse+yAo8z0CjVivZvj6GlVt+wD84FFtTfc78foj3391Mr+nuuE8ehdYD/OqEZ0nWjSscO3OZdh1fwtRInxO7N+G7difRi+Jo18jhLijKSb3GfA9PGr32Fu4TR5Cbdp3jZ6/QsWtXLIwNHghRDzsfhW2629bEsPXQNTxdZ2FhaiyeQqatjZWNDaZGhg97yqd8vJqr5/9i6sgpTPcNonOntqJLgYamYKGxxsbcBC0JaG6NyYOARsw5WF4uJoEWXvLaOjrPdWoTweghl5eJSYe1tLXEPIH3K9UCaITGCT41Px7YR2hwGCk3UjE0NGD6tMlMn+2Int6dS0kS0Dzl55F0uWqlQHZWBkUFBeJDrE7d+v/6MHuegUalkLMqyJGvTxWx5p211LIwIe/yCfwdZ1NryBzmz5mIrpYmF8+cpFzHhOYNHcRxLC0u5Oyp09Rt0hwzI32uXjxDbqmali1aoIGaT5OC2H2+hNioUGwszBAyyV+6eJ7M7DyMzSzQ0ygnMCCAqZ5BvNa9IymXTlGmbUGjurXFsbh8/jRKXTNsDTQ5e+EiSk0dGjdrhpmxYQXsqNWUFOVz6sw55HIFpnXqYy6Tk1Egp1WzRnclxRXyjy1b4M4Fg+aEeszC0vgfz0NVOWd+/QPDuvUxVMs5dyUZLV0DmjdriqFBxQehAEUl+blcOH+e4nIVpla2NGlQryJpqVpFypVzZOSpsK9lweXLl7Gu14i6NpbiiyT53HHSC8qxq+OApbEWaZlFNGzUgOvnz5Cl0KFVswY3LSxqstMucT29hKbNm6GrrXXzvhGA5k8mD5tM0LJVvNqnOzIJYO77THkQ0JQUFxG7MJKfDv9Kpw5tCAwOwdC45iXafRIP1WoDNKCmpKSEb3fvJiI8kuLiYqysLHF2ceKtMePuMDFJQPMkpoJ0zpqggAD+a1Ys4+uvvsbAQJ+177yHkbHgg3DvxZXnF2jUlBdk4DZ9Bhm2vXg31hV9XS0Of/E+cau3MTc4lH7dO1Nekk2opwdm7V/H12miCBRnfvsWL59IghJX0a6hDYl+7iRr1iU+IQw9bRXRzlMotG1LoO88dDUVfLllAx9v3Y19s7aU5Kajb2zOtUsXCYpJpLm9MYvmTsew53jmTh2DjrYGIW5z0LZtRt71S2ibGHPxzDEadx/OfJcpmBrqkX75FKtXr+S3E1do1Kg+566kYGeqj1btViQGe6Kvd6dPjKLgBvOcXWg1aAqTRg4SIU20cGgI/4bca2eYOWMu7bp2JjszF119TQ4d/osxs11xnDRK/Ir/Ze8uNn/8CXJtA6ysrcX8ekOmOjNmQB80SnNZGRHIjmtatNDL4+jZS0z2DmV410ZsXLeOX/88RuMmdTl3JYd61vrIrJvhO8+R7fGh7DhXSkJSFA425ijKcljt48ZpDQfCIxdgcQu8/gaagKUrebV3N3FHqtAHIT+PVO5U4EFAI6Q+WBDgx57v99OrW2eiExZhYmbxXFtpqjpHqhHQVDgJFxcV8fVXu0hanEROTg7W1tZ4eXvx+oAB6OhU3OgS0FR1eKXjnjcFCgvyiYqMEsMdCOlDtn+xHRtbuxcPaNQqcq6eZtqsuZTVbsOADo1QlxSwf+9eOvYditOcqViYmZB78ltcfGIY5BjMhDd7g6qcHz9Zzvyl21n/0UfY6BTjPsMJ2wGOxMwdibroCtPHzqD9oLeZO2cKZw59QcDCNYyaOochr/ch9fxfBM4PQrt2M5asWo5+wRmmTvBmQtBCRvXvgpYyj6njpnA1u4ypsx15c0AvvtnyDp/sOc2ipXHUtzXhw1VJ/O+Ho/gF+tG0gQNXjnxFYOwqeoxzxmv6aPR0bjepq8k59yuznb2wa92V5o3qiaZ3A0Mrhr/1JubGhpz59QdmOs3Dwq4eLp4etG9Rl/eWhHAy15rVSRH/Z+8soKs6tjD83bgr7u60QHHXtri1FGiLawIJbgkJECQkSHC3QrEWa6FIKRR3KBR31yTE5ebKW3MCPGiJkUtjM2t1vb7mnJFv5pzz37337CHiwUVGeUwib8UG9OneEWtjHVM8h3PJpDgrpozAJPwho9yHcuZRKD26dKVBw9o4OdpzatdPzPpxDwOGDqNJjXIc+mUd3n4LadHNhSH9unHqp5nM2HicKbPnUaZIPu6c2ovrmGm07j+c3m0avZVGI17QfNvyW6o0bUHhwvkxVqmwdXSmdevW2NlYoQ57idrIDJu33GfiPR/+MggzazsszP+fPFKvjSE4NAZHB/tMmaojKUETGhLMiCFDOHj4GPXrVMd32gwpaF696NOVoHktVqKiItnxyzamTPYlTqMhW7ZsDB06iOat2ig7oaSgyWyfaTme5BLY/stWfKdMJSgoWDnk9eefN5C/UJEsJ2h0Wg1XTuzDbfQEcuUtgLE4UVyn5fnTx5StXp+RwwaTw9GGY+sWMGnxdiYvXUT5ogUQu6LmeA9jx009axdPJuzuBVyG+TB4znI+L5Ofhyd20nOwD98N9aJTi3pMHtqPR1ZFGTfSjbzO9sSEPMKrWx9CitViru8IruxZy/B5W/Gdt4AKBXIQ+fAK3foPpcl3rnRp01ixtuxYPY9V+28zfYonNpoXjPWcQIU2PenWoh5mpiaEhwQzbJAbLfqMomm1Mpi+tUNLvOtO71jNEJ955CpYBEszEzAyoUa9z+n8TWvsbaw4+ttGhnlNpd+IcXRs8wV6TRRrZntw+kU2fD3dWD3Th323o/AY4YalSsvLS78z5Yd9tOraj+/aNuPx5VMMHT6G3FVaMmVkL2ytrXj58DKjXdwp0aYnA75vj5WFBeEPTtKqTR+6jJxA53bNuHl6DxMmzWWYzzQ+K1eQlTMmsufcI6ZOn0bBvDnfWtLxgqZz8844lSiBg72d4lbLX7Q0g4cMxNHGir8WjeOKcwW+/qoNpq+sNnGxMSz2GkGFtj2pVf3T+Pr0emKeHGT0/COMHTUEJ5t/x1gm91lKr9clJWieP3/KoAEDOffXBVo2/5zxk6ZgaSXPQxTzme4ETfya1REaEsrC+XPZsOEn4uI0FCpUkAkTfahQsZLy8n6dWO/1tm25yym9Pp6yX4YksHH9Ovym+hEZGYWNjQ2rV6+gZJnyWU7QaONiObx1EQu3nGXmzKlYWlig16jZ/eNC5vxykolT/ahbrgBLp/J1pjkAACAASURBVE9i84Ugls/zJ4+znXJkiodbf1SfNGFc76+5eHgX4xZsZO2qJTjZ27F/4xI85/2M98y51C5qT7/vu9Kk60A6t/lSCVx9eu0sfdxG0aDLANy+acqWBT6sO/GYxfNmKvE414/vxXPJVuZOm0JOJwdU6Fjq780VTXbGuPXh2endTF++GY9JvhTJn1txGQU/usbIMVMY7DebktntMH4rkFkImi3zJ/PjgatM8ptCbkcREKxSAkGF1cJIr2HzQh9mrDnA4nUbKFMoNxGBD5nq0gWzmt/Q95smeLr0I9DIkbJlihEWHExMrDGtOn9D9Uqf4Ghvz9kDvzFx1jImTQ+gVKG8GKPn/J6fGOS/ivEzZlGzXDFl7Dd2r6HTyADGzZjLl/Wq8uTGeUZ5eNFtkAelspkwxnMCRRt3ZmTP9lj+w8okBM33rbswzG86tWtWVdxgxqYmyryJcnSKCxdzVKNThzaoVKbY2lqjjo7Cf0APqn47mM8bVVdimcQZRkZhx+kzeR9zpk8ku52VIR+vdFFXUoLm4YMHuPTvz43rN+jQoR1jvcdhYpr+t+7/F3DTpaARAxexAs+fPX2TeM/ExARxGJ/fNH9y5c4jBc1/sTpkG+mOgBA04nBXEWMmAud9p06mUZMvs5ygUUeFsc7zWw7ryxEwyQtrK0sl8PXPdYsYs3w7Pr7+1C6REz/v0YTaFWXi2GFYmRoT+OgcvbqN4Bv3MbRpWJVdG2aw+eBTFs6dpvBcOX0cPx26yZxFM3FUPaf3d0PpPdqbLxrUEG8lDmzbwIQZixg1eRr1q5TGb8ggHmDPdD8fLMyMOLx1OTsvBOE1ZjhWFubo1KFMGOFGwZpf8f1XTTm4cQkbfzvHhBlTye7sgC4uil+93Nn20poF86ZjbmzyTk4WIWimD+/NFW1OAiZ6KNaTt4s2OoQ5o4aw47KWjVsX4mhtwZMbp+jSaSBdvHxpUt6OPl1daNFrOB1aNY4POFYZKbtHRUCwkZGOnetnsn77VWbOm4mjnS16nYY9q+cwZ9Mx5i5dQMEczhihZ+74Eazcd5kFSxdRuXg+Qh/fYuTwUVRt/z3Zo5+w/ve/mOzrQ8Fc2f6xHhMPChbv+sOT+rE/LjeRwU8J11gwdNxo8tna4OfanarfDaFx3fL8uGA6e0/c4Lu2pVmy8zkLAqZkSUFz49oVBrq6cf/BA7p268qIUaNk/Ex6dTm9/bCKc57u3bnNzOnTOXDwMELU1KhRjdEeY3Cws1KOPpAWmnT3zZUd+ogE3hY05ubmuA8aQNfuvRIMrsysQcHhgfcZ1rYtOVv2YtTA7hirdLx8ep+5fpO4r3VivNcYnMy1jB85GPOiNZkw3IXHty/hP8Gba89iGO8fQIWiOVk5tjt3neswfsQALC3MmDrChdvG+Zk+dgixobfo1WUInQeNot2X9Ql8fIsFM6Zx8PxtAuYvokQeO4YMGIBzqap4DndDpY5gzfg+RBRvQb9unTAzMSHi2XWGDxhOywFjaFqvCn+sX8SqrSeYGDCNPM42nD20i4k+0yhevQnTpnj/e4dT9BOGdO+LY8UmDHfrjeWrWJL4oGAVYU9uM3TwMCwb92Z6t8+Vbern/9iM64QFTJ63gNLOsfT/vh+1O7nSv+vXmAl3Vlw00TpjrC0t0MWE8cO43pzRlcJ3ggdWFmboNHHsWT2b6RsPM3PRPEpkt+fCwd+YPG0eGucSLFowjTyOdmjCnuM5fDh3LAuSM+IelZt+Q4eWTf4RA6TY3N/scvIQQcH1ar6JfRFj0CuCpi9Lb+rp9F0nAm9f5MTNYEYPdWXZ6AFU6eyGc9w9Nu6/SLvWTflr90Z2PTJm6SxfcmRBC82xI4cZPWo0ISEhDHQbQM/efT/iGyftqw4KfMHF82eVjpT9pCLO2bInKODSrYXmNUaRo+be3TtM9fXl8KGjmJuZUbt2TYYMdaNXLxeePInPFCxdTmm/8GQPPj6BtwWNSFDWsmUzJvn6ZS1Bo9fz8O+jtPm2H/nKVKB0kfzERUfw8N5dLLIXpF/f3lQsXxpddAgzfMay9/wDqlYsS2joS8qWc+DA3rv4L1mCY+wjenbuRf3eI+nTsRlmMY9x7TuQYk264vJdazRRIYp76l6UKWWKFyLw2RNioiIJCtOyYOVyrDQhDBroRvWvBtCvQyMint+jf8eOtB48ga9aNlHcKvdP7WDwpOWM9Z9JxRIFuHXuIOPH+2KRpzgOlsa8fBnC/WtXadChGyPd+76bw0av58XZ3+k9xAuTXEUpWbTQq3wtxnxatyEtGtXm0eUzjBw7iaF+AVQuWgCVXsf2VbNZsP00ixfMwslSxTSP4Ry7Fcynn5TBwtQETWQI1Zp9TYtGdYh8cpU+XfpTrk13RvT/Xtl+rddquXvhIAPdRuFcsiI57a15qVYRfOsvCtdph8+QnliamyOCc3/0Gc2cLfup0qQlY0YMJnd2sdvmn8/Bq6DgFt9SomYt8uTJqQg3sUurQNkadG7TkJN+rpyxr0TPXl15fvUMHjOW4TXWg01TxlCpgwvBF3cTmbsqPTs0I+zWdvpNO5RlLTS/bN3C5EmTFS/G6DGjkzzP7eO/lT5uC0ePHGH0yJGoUDFuog916tRJ34n1ksIh0mbfvn2LoYOHcPv2HSwszKlevQqnT50jPCJCCpqkAMq/ZxoCbwsa8ev2k/Jlmb9oIU4JZNXOlBYavZ6Xj+6w9MeflWyzpiLfiVZLifKfUblieexsbTAzM0Wv0/Ly3t9s3vknMVpTqteuSV7dQ/ZdiaF9x7aoX9zjh59/o16zNpQpnBf9y3ts3LKTcvWaU65oAdBruH/5NL/+cRyVsSkVK1eDmGDu3I/kq84tUYeH8su2rXz2RTtK53EkIvAJK35Yx+dtvqZE4QLKh/3hxdPsO3eDZm1akd3OBuEqO37oAKcv3sDe0YnSBXLiM8mXjn0H07Vjm3fXqdjlc+8yG37ZQ1icXnERiZc6xibUqFufzz4pw5O7N/nj4GFatvkKe1trxdpx9tAfXHoSxldtmisWnfCQEPbu+IVHQWHKL1tjE1u+/v5rstlaE/bkDuu27aFS7QZUKV/ylaDSExsdxdnjhzhx7go2NnY0blQGDzdPvug1RgmWFsy1sdH8NMOTFX9eY+zEyVSvVC6BBHl6woKD2LBiGZGYYvRqHOLohnzla9C0ZnlO+A7gjFNl+vfrwYO/jjJ+zipGjx7FJt8xVPraheDLewjPWVkRmoGXt9A/4AgLZkzOci4n4VadOyuAJUuWK4cyT/XzpUbtOpnm/fa+gWSI07ZTOgNqtZrjRw/hMWYswcEvFfeTyJYoirTQpJSmvD6jEnhb0Igx5MiRgxkzp/NZlarvHVKmFDSAVqNR8lbp9P8/28jcwgIzU9N3zNEiKZ06NhYtKsxNTRHxtmqNDgtLc+XYlZiYWMzMLTAR6fh1GmJi1ZiYmWHyKpZFE6dW7tepjOLrBjRaLaItdDrUcWolIFMEzYqdV1HRMcrfTE3ik8rFqWPR6vSYmpphbKwiNOg5ETE6rKwsMELHqf07mBKwGE//uTSoVuFfcyjcP6JPos03RWWkWKrNzc0QP/biNHGYmok+iCR5IousuF6nxMm8zk8UEx2NcOELWsYmJpibmSvJ7YQFXGy6EP9NjE8UEbcT/OwRkXEqbGyslGDra/vXM3HpLvyWrqR0vuwYqfScP7iTSdPm892AYXxer9a/8ue8PRjBOjoqCh160UWliL7F99uIo1P6s/xyDJ17duPB38e4HGLGkP7dWTbKhcrfDMAx7i7rdp3j2y5fs2nzRm4HqVgwM+sJmqAXzxnsPpBTp/+iTJnSzAiYQcFCRTLq6yxZ/c6UgkaMXGzn3rd3D35Tp/HiReCbh0IKmmStC3lRJiDwT0Ejtm4PHTaEbzp1zlKCJkNOpV7Ln5tXsXjdTlSmpoijG4Sgqly/Bf17dsTRNn1svRXCbO+6BSzafEDZSSUsXRGREXzZ7lu6dW4fb/V5doNRwzyxK1OLQX27kMvZ8YOnRFiVbu7bzPVIU9SxkcRoVVStWZc82R05umMrecpXp0Aue478+SfBsRoKFs7L/ftBNG/RFBuL/+en+eAOpLMbE9vldOrEMdzdBinxM61bt8R7wsT3Hg+UzoaUqu5kWkEjfjnExESzf98fTBg3gbCwcGmhSdVSkTdnNAL/FDTCDdGkSSMmTXl/LorMaqHJaPMWb/rQEhoayq0rF7lw5To29jmo+FkFnBwcsLe3/VdAcFqNUbg1IsPDuHPzGmfPX8bKzpHKlSuRzdkZG2ur+GDk26c4cCmQKrVqkN3BPlVnMYn3ujo2RrEuCUuUXuzCMrdQrGnCAoWRcCsaExsTQ6w6DnMLc8XqJXLjJHXafFoxTE27CQkawWne7FksWbJMqX7ylIk0a9EqUzJ4m1+mFTTxLwU9ERHh7Nqxgzlz5vIiMEi6nFLz9Mh7MxSBf8bQiJdc9uzZ8PP3pVqN2v96uUlBk/6mV7jLhJvISGWMqbmZwQ+zNNSI4w8FVCtxSsLF9XbRisMRQXHNiWMMZDEcgYQETXDgC/r27s2ly1fJlzcPq1avJlee+PPDMnPJ3ILmlY9X+LVnB8zkhx/W0K59e7nLKTOvaDm2NwQO7t/Hxo0biImJUeI0Dh85rkT8d+jQnhGjRmNi+o8Pj0aNsUnmM8vLJSEJZFYC7xM04ofLT+t/xM9vOlFR0bRp3RJP73FYWaf3k9ZTP0uZXtC8RvTo0UNm+PspOzyGDBuGpeW7p9CmHqWsQRJIXwREcGd0TIySRC4kOIg+vfvw9Olz8ubNzey5sylVuty7v6SloElfEyh7IwkkQeB9gubZ08cMcR/E+QsXlUNpfSZOoPHnXya4fTkzQc4ygkar1fLwwX2uX79G3XoNEInGZJEEsgoBsctn5dLFLFi4WMnp0a5da4aNHIW19f+DS6XLKausBjnOzELgn4JGWGfWr13D9GkziYyMpE6d2oyf6EPu3Hkyy5ATHUeWETSCgvDzxqrVipiRR9FnifUtB/mKgEisde/OHYYMGsy169dxcnJk2LAhtGrb/s2zIAWNXC6SQMYi8I6g0euVY0769enD2bPnsLO1xnfKJGrUbYDpq232GWt0Ke/twQMHGejqqrzTpvr70bBRIyVty/tKus8UnPLhyzskgaxDQOT22LDuRwIC5iAsltWqVWX6zBnYO8Rvo5WCJuusBTnSzEHgbUEjdvUuW7yIlStXK8Kmfbs2DB89Gltbu8wx2GSM4u6d24jsyEZGxjT+4kuKFy+esTMFJ2PM8hJJIMsSEIe4enuO5cDBQ8oJ3EOHuPJVxy7KQy8FTZZdFnLgGZTA24Lm0J/7GDZsJGFhYeTJnYN5CxdRomSpLOeNEG631yWxXV3SQpNBF73stiTwmoDIDHvuzBm8vby5f/8B2Zwd8fL2omGTLxAvR7nLSa4VSSDjEHgtaOLUanwnT2TTpq3Y2dkyfMQwPv+yKRYWcvNLQrMpBU3GWeeyp5JAggTEy2/Prp2M8x6PyggGDR5Ep2+/l4JGrhlJIIMReC1oRLcfPbiPp4cnVap8RveevbPENu3UTJcUNKmhJ++VBP5jAqEhITx7/hy9Tk+27NlwdnZWeiBMsmFhoWzfugVHJ2dq162Hnb29cr6QkfH7A+j+467L5iQBSSAZBERKBhEvIoo4fyssNETZxSieZ+FGliVhAlLQyNUhCWQgAtt/+YV5c+cRExtL95496NKly5vei11Pwv0kTmQ2NTPL9BlEM9C0ya5KAh9MQK/XKYJGlqQJSEGTNCN5hSSQbgj8tGE9/n7+SrZQ14ED6O/i8o++ieC5zJ0KPd1MhuyIJCAJpCsCUtCkq+mQnZEEEifw9llOA9zccB3gmiJkwjUVf/SLFD0pAicvlgQ+EgFxXpY4hDMrHGPwoQhf73JK6twqKWg+lLC8TxJIAwKpETTCJXXi2GGyZctOsRKlpEsqDeZPNikJvE3g5ctgJY9UcFAQ7oOHYW3z/yzfklQ8geDgIK5euQR6KFW6LE7OTgn+IJOCRq4aSSADEfhQQSN+4bx4/pRBbu7ExMTSseM31KxVi9x588lAwww0/7KrGZ+AeBZfBgdx5vQZ1q9dy6XLV5TMt6NGDaNZyzZZLsdMUjN69OhRRo8YqViWJ/j4UKtOHZlYLylo8u+SQEYg8KGCRmQR/mHZQubOX4JaHYetrQ0FCxXiiy+a0KJ5c7LlzJ0Rhi/7KAlkaAIiaP+P33exZfNWrly5TmhoKCLlQvYc2Rg2bChNW7RKMK1/hh54Kjqfpc5ySgUneaskkOEIfKigibfQPGfxwvns3buPwMAg5ZeglZUVOXPm4JsOX/FpxUrkyZcPSwtLzMzMMJJbRDPc+pAdTj8ElF2HajWxsbG8eP6M69eusm3LFi5evkpkRCRxr+JmKlT4BNcBAyhSrLiS6TupOJH0M8L/pidS0Pw3nGUrksB/TuBDBY3oqLDShIeFcffubfbt3cv2X37lybMXyi9CK0tLbGxtsLW1pVixIpQsWZK8+fJTsnhRChQugqmZxX8+VtmgJJDRCIjDkgOfP+bCxUs8uPeAGzducOf2bYKCXyoiRpyWLQ5TtrAwV6yjzZq3oFSZMjg5OWFsbCLFzHsmXAqajPYUyP5KAskkkBpB87oJkawrMiKCG9evcvbMOU6cOMbJE6fRaEVCLyNMTU0wMzPHwsICZycHbO3sFUuOmbkpluYW7+yPKl6yBN926ZpgOvaQly/5YeUKnjx6pCT/M1RxdHJk+GiPBOMNxBg3rlvLhfPnRdZBQzWLuYUF7kOH4ejomODHZ8umnzl5/JiS/NBQRWVkRIdOnahY6bMEq7x75xbLFi9WfvmLAEqDFJWKEiVL0rVHzwTjFqKjowiY5kdoSJhBmnxdSf6CBejT3zXBU6XFelo0bzZ379433ByrVIq46NKjB7lyvd8NK34Y7Px1G4cPHX4z3ujYWOI0GmJjYgkPC1UsoJFR0YgdTOIfYa0RJXeu7DRt3pwqVaoqQsbZyRkTU1MpZBJZOVLQGPSxkpVJAumHgCEEzevRiBdzTHQ0ISEh/HX2NHv/2MvVy1d5+uy5EmcjPhivRYiRkQojlREqI5G27/9bvmvWqsFUf3/s7B3eC+nxo0cMHjSIa1euGlTQ5M2Xm23bf0vwYxcTE4O3pye7du4y6OTZ2dmxet2PFChQMEExNXHCBDb/vEmxiBmqCKE5cfIkmrdsmWCVZ06fxqVvH2Ji1IZqVhljjVq1mDVn9ntZxwe4BvNtp294/OipwdoVFX1a4RMWLl6iiOlXuQbeqV+IhJ5dv+PsuQuGE3BA/vx5mR4QQMlSpd87HuFCmj1zOmtWr33zd9EXwUL5X7EHJz43AsbGRmTPlo2ixYpQv0EDatWug6Ojk7KbSVhGZUmagBQ0STOSV0gCGZLAvr2/KzsjxAe7bfuvaNu+farHIV7EIlgxOiqaoBfPuHL1KvcfPCQsJISXwS8Ji4hAo45VRI5Iy/52+fTTT+jjMkBxVb2viLidObMCuHf3rgEFjYocObLhO21Ggh8F8dFZtmQxx48dNejHzsbWFg8vb/LkyZPgr+qVy5fx5/79CPeDoYoQFn3696dmrdoJVnntymX8/aaijjWsoCn/ySe4Dxn6XtZi7YSGhjBxnDfPn78w1HCVeoqXKM7QESOxtLR6L2shHnx9xnP1+g0DWmggZ46cDHB3p2Chwu8dj7C4bNqwjp3/EMvCeieOJhBixcnRUTmqQKyTEiVKkDd//ngrp5m53MWUwlUiBU0KgcnLJYGMQkCYs8NCQ5Vf/+KF6eAocjIYtogPhXhpC5GjidMQp4lDq9Eo/+j0uncEgrW1NXYOjglaSkQ9wUGBSnCkwVxOKjA1NSNnrtwJfhxEX8WHNiI8Qpx0ZTBA4kgJwVy44xIK3hQ5RaIiI964GQzRuGjLKVt2BO+EihC5gc+foVNcXYYZs3B1iSBx5+zZExyvEI8hL4OJjYkxxFDf1GFhaamcS2ZqavreesV6EuONFu0azK0ojg0xxcnJWXEvvq/Ex6LFP4dvikqluI6EFVPcL/psamKKmbk5xkZG77UwGRRWJq7sj9/3MHjQEOVZ95vmT8NGjRL8ISPz0GTihSCHlvkIKKJAuIJembU/1o6If4qPhMSIaD+pPrztujLUjKRZu2IASYz5Y4w3vtkkWAuXh8E+7G9/q7PYHL9yFyW2rhOb47fvS+rZMNTzkFnrEZx/372TYUNHKNYvv2nTaNCwgRQ0mXXC5bgkAUlAEpAEJIHMSEC4uHds3cQYz/GYmZsxbfp06tStKwVNZpxsOSZJQBKQBCQBSSCzEhCC5tL5M/y8fh3BIaH07OdC+U8qykzBmXXC5bgkAUlAEpAEJIHMSEC4nEQ8XEx0FFqdDnMLS8zNzRN0c8sYmsy4CuSYJAFJQBKQBCSBTELg7Ri+xOKSpKDJJBMuhyEJSAKSgCQgCWRlAlLQZOXZl2PPsAREJtyIiDAcHAy/bTvDQpEdlwQkgSxNQAqaLD39cvAZkcCOX7exY/tvxMbG4OMzgdz5CiS5dTojjlP2WRKQBCSBlBCQgiYltOS1kkAaExC+5PVrVuPnP11J3uUzaTyff9FMCpo0nhfZvCQgCaQ9ASlo0n4OZA8kgWQTEIJm7++7GTFshJJ5t3v3rgx8lUUz2ZXICyUBSUASyBAElBSiye6pFDTJRiUvlATSB4Gb16/S5bsuhIaFU7NmdebOn69sZ5RFEpAEJIHMQiAmKoqDB/bjnC0bhQoXVU5BF0dxJFakoMkssy/HkWUIiHNzfMaN5bedeylUqCBz5s2lWPESWWb8cqCSgCSQ+QncuX2LYUOGKoeeFiiQj0WLF2Fj5yAFTeafejnCrERA7HDasulnJk2cpJxE7Dl2DM1bts5KCORYJQFJIJMTOH70KO5ubkRERNLh61Z4ePlgYmomBU0mn3c5vCxI4NjRw0ocTUREBL169cDVbVAWpCCHLAlIApmRgF6vY/PGDYwbPxELCzPFOlOh0mcYGRlLQZMZJ1yOKWsTEObYQW7u3Lx5i7p1aymn0NomYY7N2sTk6CUBSSCjEBApKbw8xrB9+04KFMjP4qVLyZsvH0YyhiajTKHspySQfAIiqV7A9OmsXbsBBwd7Jk2aSL2GjZJ84JPfgrxSEpAEJIG0IXDuzCmGDx3Ok6fPaFC/LpP9/LG1tU0yPYUMCk6b+ZKtSgKpIqDT6Tj45z7c3QYr9XTo0J6RYzwxMTFJVb0Z4eaY6IgUbOTMCCOSfZQEMh4B4f4xNbMAVfK3VSdnlOrYWGYHzGT16jVKrq2xXp60aNUaY+Ok321S0CSHsLxGEkiHBIKCAunVvTslixele89eFC9VJgtYaPTEREVgam6Z5K+1dDhlskuSQKYhoNWoMTG1MPhzGPj8OaNGDufIkeOULFmS6TNnUKRo0WS1IwVNplleciBZjUBsbCwPHz7A0cEBBwdHjIwTD5jLLHxioyMws7BO1gsus4xZjkMSSG8ENHGxGJuYGfw5PLD/D7y9xhEYGES7dq0Z4+mFhWXy8mxJQZPeVonsjyQgCSRKQAoauUAkgbQn8DEEjUYTh+eYMWz/dYcSMzNrdgBVq9dI9mCloEk2KnmhJCAJpAcCUtCkh1mQfcjqBD6GoBGbHab7+fH7nr0UL14MvxkzyJ49R7JRS0GTbFTyQklAEkgPBKSgSQ+zIPuQ1Ql8DEGj1WgICQ3h+JHDygaHxl80xTgFrnQpaLL6qpTjlwQyGAEpaDLYhMnuZkoCH0PQCFBiB6dWq1EO3zUzM08ROyloUoRLXiwJpH8CeuWFoMXE1DT9d/YDeigFzQdAk7dIAgYm8LEETWq6KQVNaujJeyWB9ERAryc6Jorfd+1SdgU0+aKpwXcgpIfhSkGTHmZB9iGrE5CCJquvADl+SeAjEohTx7J2zQ+sWLGK7NmyM3NWAHnzF8h0okYKGhCxBmq1WjHLi8RmIgGZYpHT6wl68oBnIVGULFEcExNDbOXXo4mLQx0X7waILyplXZmbm6UoxuEjLv9Eq9ZpNMSqYwUe3oxAcDMzwzQLJKP8GNyloPkYVGWdkoAkoBCIiYnmhxXLmTt3gRJQ93WHdri5D8HaxiZTEcrqgiYuOpK9v/3Kb7t/52VEDMam5lSvXpXOXbtjrYpl9vhhHH9qxPyZU8nmYMuLJ4/QmFiRO4fzB60DXVwsBzavZs32A8RqdW/qsLRzZOCgQXxSqtgH1fvf3aTn5tE/mLVwJS81r+UMGJtb8k333nxZu0oWSEhpeNpS0BieqaxREpAEXhEQcTNXLl9kQH9XXgQGYWVlxbTp/tSt3yBTWWmytKDR6/jjp1XM/OEXmjRvTrnihQh6eJu/bz1l4PBhOJnrObBrK0F6B1p+2Rg0MUwfOxynCk3o8227D7LYRIW9ZMbYwdzRONGpTTOMjY2UFWdmYUmZMmVwdLBP58+gluNb1uI9cQGt+vSidPFCytEZRiYmFCpWkny5smOcxKGH6XyAadI9QwiaSxf/Ji42lk8qVjKIqJQxNGmyFGSjksDHIRAdHcX8WQGs/OFHJTC4RPGiLFuxAucU5HL4OD0zXK1ZV9Do0cRG4+HaA3Xh6ozo3x0nawtlV4hwBZlbWGCEnqioKFTGZliYGRP47C5De/amXmdXOrVvjoW5+RtBotXEodXFWyxElmmTBLbHhgQ+ZXivjpT8oiv9unR446JRqYwUgWSkAo1Wp4gCsTtFVCnO+XnH3aXXK+tR6atoz8hIOZvn9TFAcXFxqISo0OvR6fQYm5hgbKRCp9Mq9wlXkahTtKVXqZS/aTVa9KjeaUe44v7530DD0Z/X4OWziOGzZlC/RiVlzMJlJtoxUsW7z2RJGYHUChphUR49YjiXL1/hm44d6Nq9V6rdl1LQpGwO5dWSQLomID4Y4WFh+PtObG2cLwAAIABJREFUYcvWXzAzM6N+g7qM9fLGyTlbuu57cjuXZQWNXk9sVDhj3XvxyLIokzyHUyin0/+x6bRcP7aLEdNWMch3Jo5PTjPWdx737j8hW66cWFlb0XPgUFo0rM7uDWvZuXsvUSoTJT7G2MaJIWM8KFcw178+7k/vXqFz+0709fajfbNG8YJIiACE/tBx47eFzPvlL/LmyMad+w94GRGO1io7cwP8yeHkAHotp//czcqVPxKtMkGv0xKr1tKpz0CaN6yBOuQZrq6DcC5QgLiQQO6/jKWVy0hal7Bh6lR/7j8JUtaxztiCfDmdKFqrMR3qVWGh33gemuRh0pjBWJuboNOoGTd4IHmrN6X7N60wexM/FC9ovH0WM2ruLBrWrvyGmRQyyX3q/n1dagSNEN3jvTzZu3cfGo2WFi2aMWqMB7Z2dh/eISFS9f+P8kpVRfJmSUASSB8ExC/aWzduMGzoEG7fvqu4nga6DaDzd9+n+hdQehhhlhU0gFYdw46V85i2fCMV6n/BhDHDsbe1UUSIThPHrh/nMO/XC/y4agGq6FDWLZrOvF1XmTDanfy5slOocCEijq9h+KLfaf99L2pXr0TIw+t4+fiS60sX5rq0xEiYQV4XvY7bf53g6y59KF2pKvlyZVOsK9mzlaT/wM6YGWmZOdSNLUcu0KT113zdoRWh9y8y2W8+IwIWUat0IcLvnGXgaF8atv2ORnWqQGwk/j6eULAa0zwH8fLhDXr1HUBUnBG9+/enZKkS5MmbhwM/zubHQ/cYO2YwebLbceS3zQSs3IznpKnUr1KOpdN92HU7hpVzppLN1oqIoEv06jaKfmPGU7d6JcWKE1/iBc2YcQEU+Owz8uWOzzzrlLc4A/p+j4VZ5kxv8LGf1Q8XNHr27NqFp8dYIiMjcXZ2ZsGi+ZQsWTrVqSakoPnYsy7rlwTSgIA4uPLs6ZOMGe3Bs2fPKVSoIP5+UyhdvoJBfNVpMKQ3TWZlQYNeR0jgcw7t38HqlRuJs3Cku/sQWtWrSlxsJMumjOVEkBlLAiYhdvasnDKSg8FW+I4dRg4HW2KCHzO4T38sy9Zi5MCe2JiqOLl9JTPWH6Sfty+tq5V9Z30Ia8rJP36l37Bx2NnZY2pqgsrEgs49+tO53RcYqcMZOmAAgRpLvMd7UaRAHu5fPsXosZMZ4TuTT4vk5Ed/b36/Fc10vwmYGhlx+/xBJvnNo16H3rh2ac/dvw/jOsiTKk3aMtilB/Z2try8d4XRo8fSsPtQvmpUDXMTY279dZjhQ8YyatYiKpYuzKGVs/H96RjzVy6gSE471o3qx29PLZjsP5FCeXK+tUTjBc0IDz9wcsLC0lwZY/nqjZnoNQTL9wia2KgIMDHHXIqdBB/1DxE0woJ88/pVPD08uHz5GtbWVowb702DRo2xsEjeAZSJvXukoEnLN7NsWxL4SASE4VWtjmX9j2uYPXuessW3UKEC+E/3p2Spshk6ZiBLCxrh5tFpiYqM5Pr5UyybP5Ng8/wsXzgLfXQw40YMx7JkbbwG90arUTO2byfsK7fCvWdnrCzMuXrqT1wHj6Fi7SaUL52XezfuEqcy49OqNWhSvzZ2NlbvrA0Rk7Jr7VxWHX+Cl3tvHK0tEYEstrb2WFtbEvb8AQNdXCnXoA3ufbpiaW7CmQPb8Q1Yht/s+VhHPmLQwEGY5C3Hl42rcuPaHdR6I4oWL02zZk3I7uzEyW3z8Zi+nrEzF1C3UlmMjVWc2PMzfgs2MHvhAnLnyIaRXs+pPT8x2m8Z81esoGjenLw8t43uI+cycOo8SlmF0aPfMNr0HUqPr5opY/1/iRc0HuPmMWDKJKpVLBO/5dzCCicnByWG5u2i12s59+sGtAU/5bPyxbhw4jianKWoXORtkfSRHtwMVG1KBY14J138+zz+vn5c+PuiEhvVu08vuvXoqRxEaQj3nxQ0GWgBya5KAikl8DI4iFWrVrJ61WqqVauCx1gv8ubLn9Jq0tX1WV3QvJ4MdUwE+7ctZMbyA6z7aR1xwY8YNXwEdTu60LVtE9RRz+jauhNt3cfSrmk9zExNOLpnE6PHz2DE+KmKlUN8VMS2bwcHOywtLP71UdGo1azw7EZIiZYM+L49luZm76yFB1ePMWiIN9+6e9H289qodDHsXjuD5dsvM2veHF5cPc4AlxG0dBnLd23qEKeOw8jEFDs7O6wsLTBSaVnqPYwNZ0NZuTKAfNkdQR/D9tX+rN1xnflLFmBva402NpLFUzzY/ncgK5bMJYeTPXERd+n3bX9qdeyH9vZR1p9+zoLZUymeP5cSPPxPQeM9UcTQzKZhrc/eHadeT2jwUw7s2YdtgcJUrvApobcuo3LOg6kqmoUzZxBdsBZ92zSkYJ6c3L54hlOXrpOvQEmq16iESRbdIZUSQSPEzNXLF/H2GsfVq9eU4PBOnTrQu29fnLPlMJgrXAqadPWqlp2RBAxLQKfV8vz5M7Zt2UKLVq3JkTOnkoQtI5esKmgigp8RoTXG0cEBc1MTwl48ZP30kex7YMGChbMJunOJ0R7e9J80j/rlChH94C9adBnCqCkBNKhcRpn3o7s34TlpNh5+s2lco4KyDDTqGDA2w+TVduy310ZM2ENGde5OXffxtGxQDdN/JOr7e+tcRs3bitecZVQrVRB1WCDzRw7gL10uZs2YzP1zf9K/30jaD/FhcI82StXaODU6jDA1NUYXEcgwN3eCSzdl7oBvsLE0Q6+P5rd1M1m16SILly/G2lzFuQO/4jEugPwVajPLb3y8yNGq8ejTmSDT7IQ9foSLz0SqlS6Fhdm7out1DE1CgkYTp2ZdwDjiHIvz5PlTvvmuC09+W4W+bF3szWLw9w8g0io/Pbt0oojRS+Zu3En58qW5dfEirbsPoE7VTzPy4/TBfU+uoBFi5u7tW/iMG8eZc+cRO9pqVq/K1OnTcXB0MpiYEQORguaDp1PeKAlkDALi11BUZAQWllZKwr2MXrKkoNFrObBuISt3HqfUZ9UoWTAPZw7+ztlLd+nk4k6HZg25eORXJsxYx6zlSyiQzYGIe+dp1ak/9Vq0I3/uPLRq1YLwx1cY4DaCXJ9Up2WDmhjptQTev0rlFt/xabGC7y4NvY4XFw/Ssf9YvujwPcXzxedrUamMKV+rNgUdLVg1cTQ/nQtl0dJp5MvmxMuHNxnk4kb2Ou2YPKgbkU9v4OHuxlPzvHT9po2SpvfFwxsUrliP+jUqE/7kJoMGj6SFyzBa1a2BmRBVei1n//yVsT4BNOnwPSaRzzl18SrBD29Ttm5bvIa7Ki4lsaV75pgBrP/9FLW/bIf3yIFvAqTfHUi8y8lz/Fwaf9eZsiWLiDzHqIyNKVa6HIXz5mDRpKHkqNSchnVr4GRvx/6AsagqNKJmzU+YN3ECUZ+0Z0jTSqycPRld7nLUKF+c8Ht/cSbMgZG9O2X0R+qD+p9cQSPc3UsXzmfpshWo1XGUKlmcsd7elC3/icHfR1LQfNBUypskAUkgrQhkTUGj58nty6xZuYYnEbGKhcbUyo4vmzWldKmSONpYcOHAL+w49wR3l57KB18dGcaKeQHceBqGc8FS9Ov5LZYqDRcvXGTblk3EqkwxRU/uQqVp36ENuZ0d3plScchp4PVzTJq3SkmiJyw4wpOjMremr2t/8tiZsmbZUoJtC9P7q2bYWJkT+PAui5aupFzjVrSsVRGRZfjejctsXrOaEL0FevRYO+ak8/ffkj+nE8GP7rBi9Traf9uVooUKKvWLEhb0jO0bV3H62hNy5ctP+ZJ5WDZtHvW7D6PPd80xMzFR3BaLfUaw+fgNJvlOpULZ4v+yIMXXpufBuaMsXv4jUSaWynENSmI9M3MaNWtNjYpluHvxNNt27yM0KIQeg4dzc10ARhUa0aBhVeZPmkjMp+1xa1yW6d7DeaZyokhuZzQaNbnKVOO7Fg3T6lFI03ZTImgO/LmPST6TsLGxwWeiD2XKlcfcPGUnaSdnsFLQJIeSvEYSkATSDYEsKWheBQNHREQQExMbf36TmRlWllaYmpmi0utQx0QTGatRdgmJXTzC3RgZEU6sOg4Tcwtsra2VLdkadSyRUVHEabTKnArLndht8s/gWJHNTrhjQsMjFPHwuqiMjLGztcXUxAjRH4xMsLSywsRIhThPLDomFmMTM6ytLJRbRLK9yNBQ5dgEEfhpYmb+/77EqYmKicHCPF5oxOsPLaGBT4jWmSoWIWOVhiPb17Lo56OMD5hNhSK5Uem0nNm7iakL1tG+txutG9VSYnISKnGxMUSGhxP3/5MPFEaWVtaKOHz59AlqtBxfMg5tnd7YnP0Vk4pC0FRj4aQJPMtZB4/vG7Nipg8h9qXo9nVTTIwgLg7yvLOjKt08Jh+9I8kVNMLlFBUVydnTp5RcWCVLlTa4ZebN2pR5aD76vMsGJIF0TSAsNJQLF85TsWJFrG1s03VfReeyqqBJ9xNjqA7GRbF33Ry2nw8kl7MTcTEhXL12kxqft6dvt2+UINx7l8/g4+1NripfMsylBw7/2J2Vkq6InVy/b/gBnYMzFw8cp2XfvoSc2I1p8UpU/OxTju7Yyp/n79P269aYhD/jl90HKFupEqZGOnLmKsynn5ZJSXOZ5trkCprXAxaiWBHNHzErs7TQZJrlJQciCaScgHjJ7Nq+jQULl9CwYT36ubphaZn6fBAp70ny75CCJvmsMuSV2jiePLrPsUOHOHH+MgWKFKdy5c+U08Md7GzRaTWcP7yHA5cf0a5ta/KJbd2p2GkkLFmhIcHEqjUYm5rhYG9HXHSU8u9mlhbEREYSHhmpWLKszM2JCA8lKjZOCWa1tbNP1DKUIfkns9MpFTTJrDZVl0lBkyp88mZJIGMTePL4Ie4D3bl27bri065Zszrdunen/CefKufcpMciBU16nBXD9kkIbZFHSR2rxtjEVHFHCQEhXFZKjqXYWOK0OiwszBM8gyolPRLxQq+9UUIciSMdEIHDr9oTbYp/V/7/W9e+/m8paSuzXPu2oBHz8eD+PXLlzp2mVl4paDLL6pLjkAQ+gEBkRASnTh7Hd/IUHjx8pBwYWLBgAVq1aU2nTp2wES6oj2gi/oAuS5fTh0CT90gCBiagCBpjU8LDw9i4fh1/7N1Ho8aN6NazJyYmaZMaQgoaA0+yrE4SyEgExC/hmOhorl65zNIlSzh06IjyC1gEiX722WdK8qtqNWorAaiGyORpCDbSQmMIirIOSSB1BGKiIjn/1zl+/HEdZ06fITwigjx5cuM1zouateqkrvIPvFsKmg8EJ2+TBDITAY1GQ+CLZ6xe9QPbt28nMDBY2YlgZ2dLm9Yt+eqbjuQvUDBVsQqG4iUFjaFIynokgQ8nsGnjeubNW0BgYJCScdrKypLmzZrSvWdPChYu8uEVp+JOKWhSAU/eKglkJgLipSTOCDp98gTr167hyLFTirXG0tKC2rVr4j3BB0dHpzQfshQ0aT4FsgOSAJN8xrNh/UbFclujRjVatW5D9Ro1sHdwNGj235SgloImJbTktZJAJifwOuAyJOQlWzdvYsvWXwh8EcjnnzfC03scVlbWaUxAT2x0JKbmlunGBZbGQGTzksBHJBAfCP1u0SMsun5TJnPgwEEaNGhAl+7dcXbOphyvkZodZ6kdiBQ0qSUo75cEMiEBEVsTGxPDi+fP+HPf75T/tAKfVPgszX55/R+xnujIcCVLqyySgCTwcQmI4F4LK7t3RI1Itnjq2AEiIqMoUqw0ufPmw8LCIk2FzGsKUtB83PUga5cEMiwBYa0Rbqi4OLWya0HE1CQUGHzvzi1CQ0PJniMnjo6OmJl/vBec6JdyKJAskoAkkGoCyuP06nn69/P9bwuN2LYeEhKMuYUlZmZiO33C74VUdy6FFUhBk0Jg8nJJQBJ4l4Cw5swNmMbWbTuws7PD3t6Bz5vUo0Xrdlha2Sh5QoyMjSU2SUASSEcExOGeGo2W2NhoDuzdQ/0mX8anaUhGif9RITI6/NMdlYybP+IlUtB8RLiyakkgKxB4/vQJbgNcuXjpCkZGxoolR/xys7W1oWDBguTMmUM5wyVbNify5c1L3QYNMTV9dW7PPwAJi9CjRw+VU3mTKmampuTJmyfBnBdCaD179ozIyMikqlLM5WLLqYVFwlmSw8NCefb8RZJ1iVd8tmzZsHd497DHt2+Mjo7myePH6F59GBKr1NrKitx58iR4SWxsLA8fPEiWzcrK0pLceXKjUhm9tz7xoXr8+BHR0TFJjlPwF/0ScRMJlcDAF4SEhCZZl+BfIH9+TBKpS1QSERHO82fPE+Um0usrc2lplWC7wm1y7979JJkZGxuRK1cuLBOpK57ZY8ScJlacnZxwdEo8qF7U9eL5c8LDw5Psm72dHdlz5Ei0TbFm79+7S1RkFCFhYcrZXqEhIQS/DCEoMJDHj5/w6OEjNFoN3uO8qFs/Yx+0KQVNko+avEASkAQSIyDy2Fy5fJFDBw/w94UL/P33JcIjohQzthA3wiQtPlimpiZ8Ur4s/jNnKZac95UXL54xZuRobt26nSh0UV/58mXxHj8BB0fH914rPgrT/Pw4dPBQkhMo8u74+ftSqkz59/7qFJljd/76C9OmByRZl4mpCRPGe1G1Ru0E4wrOnTmNp4dnsoRDgwZ1GOXhlaBwuHr1KoPd3BHCJqlSt24tRowek2Bwd0xMNBMnTODY0ePKDrfESsUK5RntOZZs2d//UY2Li2P5kkVs2PBzovWIX/m1alRmxJix2Ni+f12ICoRAPXb0CFMmT1E+0AmVwoULMMXXlxy5EhCBej1BL57QuXNXRB8TK/ny5cF7vDdFi5VM8DK1Wo2XhwenTp1OkJlYrwPd+tO67deJtif6s2TRQrZs2Yr21eGh77tBMGvRsjmDhgxN0EoieF26cB5vb2+CgoLRanUKQ3HUg1anVf6/CO4V/4gfIN27d8F9yLCkllC6/rsUNOl6emTnJIGMQECvfEyjo6JRx8URGxPNpQvnOHLkGFeuXOH+g4dEREQpL94GDeoyeap/goLm9q0bDHYfxPXrNxMduJmZKV26fMsAt8GYW7z/lOVLF//G28ubSxcvJQlRWJMWLpxHxc+qonrPuUBxajU+47z4edPWJD/02bM5sfXXX5Ut7u+rSxyGuGzJQubPX0RsbOLBzYJZv7696Oc6EDNz83+NQ4iOQwf+xN19sBLEnZgIER9VNzcXuvbolaAlSlgZZvpPZe26jUr8VEJFHEPQu8f39HZ1S1AciTUxa8Z0VqxYlSh/cazB/AXzqFKteoKWO1GB+PDu2fUbXmPHJWp169jpa4YMG4FtIuIoIiyMJo0bERISlmjfypUrw4yZAeQvWDDB6wQzl759OHny9Dunkr99g3C7urkPoFff/om6aYSgWbRgHkuXLE9UoIp1Ua1aZXynTiVn7rzv7ZtwKV2/dhXX/q6KJSYhYWRrY03zZk3o2bsveQsUTvJZSc8XSEGTnmdH9k0SyIAEhDVDfMxEThth8r544S8uXr6GRqOjWrUq1KlXXzk36n3l/r07zJk1h4cPHyUuaMzNaN26BS1bt0vQcvH3hfMsW7qMZ0+fJUnR2taGUaOGK7/E3xcXEBsbw5xZAZw5cy7JeGRnZ0d8/f0TjEcQQdZr1/zA3t/3KTEMiRXRl+49utKgURPF2vXvoufs2bMEzAhQgrcT81OIs7n69ulJzTp1FavZ+4o4P+mn9evYuXNPooJGxER1+Ko1zVq1TVCECMvF+rU/svO3XUnOpYfnGIqXKJXox15YAjf9tJ5du/eiidMkWGez5k3p0LFTgmtM3BgVFcVgdzfCQsMT7VvefLlxdXWlcNHiCV4njg+ZMM5bOTpEr3u/VUsI21o1q9Onv0uiLrp4ZmvYu3cfcYm5XVXg5OSkWFUqV62unDv1zyKsMTevX2XxokWKtcfSykoJ5H17fYs1Ub5MSarXrIVTtuxpdmRBkg9oMi+QgiaZoORlkoAkkHICrw8ZVNwhejAzN8M8kR1QMTExim8/Jgn3ibA2ODjYKwHICeW9iI6OUkztyXHFCItD7ty5Xn0E//1xENaB0NCQZMWDmJqYJBpbIiwfIhYkOCg4WTE0Ih5HuOgSCsAUFoKnT58maB14PWvi/hzZs2Nja/PeD6C4TvRNxFiEhIYmau0RhJycHLGzt1fipt5XRF0hoq6QkEQXjpi/nDmyY2Ut+pVw0cTFERQcRGRkVKJ9c3BwQPwj5jShIiwhjx89VmJHEisiTsg5m3Oi+ZfEOEU8VKw6cWubjY21kqvl/cI0vhfieQkODiI8PCLJ+RRWHydnpwQtUcJaJ9ZGyMtgjFRGCFdo/IGz/1/fYk0IC5nYdp1QXFXKn/q0u0M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IEUCho9sZFhRGqMcbCzwUhloF5k1mr0WmKio4mO0WPnaItxKnhp1VGERMRh52CPqdF/A0yn1RAbG0W0xhRHO0sS6r5epyUsJBRja3tszI3/m86JVvQ6oqMiiIpWozI1x9bGBtPUQP7vep7hW9LFqYlTmWBu8t8sRq0mDr2RCSZp+NLR6zTK8xyrNsXe0SLB50FZmuLZUccSqzHG1tYCQ1LS63XEqdXEarTYWlsnuJbEc6lWxxITZ4SdbeL9zfAL8r8egF5HbFQ0JlbWqXqvJ6/bGtRqMDMzSd7lWfgq1f1jP+l9F+0gKhEIDp28mfl5IdBHs3lMZ0aeKcShLdPJZW3Ix9TAs6DT8OLhDc6eOMKB58UY61ofy4Sa0Eayzc+Xrdcf/uMKM3KVKELFzxrR4vPKWKWoiy/51XsGi/dv5q/bVTlwbQVFEn73JFnz7b3TqOVyiE1Ht1EzW5KXp/qCuJAHLF0yhy1rN3E8/yAe/jIQuwRqjQm6zrd1W5LPczszOxU36Ms7sYEc37mcB+ocRN0+zNT526ncaQDLx/VN049eqsFngAo0T08xb8kRGvfpy5UNLuw4l3ini3WbiEe9vKkaWfCd0yxasJ/mQ9z5JJdZqur6oJujHjJ/SgAbd20hKHokBy/2wTGBil7e3MGA0Yt4cP8+6kZ+HJj8OeYf1Oj7bopghWdP1h95gKZADXYtn/ZeER8bepdJY4dw6Mx9dDVH8rv/16QBNYONOr1VdGrLcg6EFKR9pUAmBOxKvHv5P2W2x0BsP/jHXjBr/Vdi06I/rUon+BVLb4jSpD/xFprwO7i2Lsv8/fU49XInlR3i+6LXxPDrrN4MVrlza0jlNOnghzZ69+wvbNt/lo2zJnP00xmE/jogwQ/y6zaenlpNjWbdyVl9Kn9sGYo1kfy9cym9XDy5V6AX+7f7UtoxJa8mPR7f1mbu7hKcu5cCQaON5kWkKdnt0l6RT+1kxaiwKYTucE+S34fOVcrv0xN2Zi7tXHax+o/t5LZR8fTANEZtNGbpnEEpEjSB5zZRrYYbo/84Ta9aud90RR8TRpjKDvuUTHfKB5Lh7oh+8jfu/VbTd4UfnznFdz/ixhrqlPieCz5H0XrW+D9DrZqjy13xut+BnT5NUv9BffoHrsN3MHaBP7ls/kNL4KsRaWNC6fhFJc4EjeRMIoIm/uUZS6dq+am3/Dn9yqVimuPu4F6vMere61jQveqrisJY37EEP+VZzE8zWiXyA0LNxJZOvPz2JNM7llHund+vFtOiXLnwQ2dsUtGtLHurTs2dbZNYcq06k0c1jZ9qbQzzOzRmwMGHbDtyjlYl/i911WG3GT1qHD19l1DGLhUvk7DrDG/ajVoBP9OmSp4siz+pgb9xOS1yq0a/OU7vCBrl5pjrjJt0k9E+zQz4KyOpbhnu77P6VWDQo17JEjTqZ39TpUZdLMt6xguaV3ri2LIB1Ow9n299NrLG46sUdE7Pir4tGLQpR4oEzZOjC5jwpD0L2udIQVsf59Ilg6rT50andCZootjYsT4+TxtxYM8UnFLx01Md/oyTx65QqEoN8r0RqxpOLlxFVMee1H8l7j8O3YxW6xOmdu9KQdcVdKz8tsXlFF+oqrL3H4JGGZ3mIesWX6G9iwEEDXDhZ1++WW7Hn7+4kPO/1vtxEXRrU5eD9/olKWj0j7ZQrtVGdp9aR77UGLJ10Vw5fQZ93vKUyWuvINUFXaJm6Zo0XXUO76ZFEl5EQQepV96VkQcO0Kx4vPp8cPU4d+IKUqskJyisAAAgAElEQVR8bv57SZjR1vu/+3vn8EKa+AdxcP0Y8li+dsLHsb1HW1r+evFfgkbUcOX4EazKV6agdSoEDRD79Czf913MuA0LKWOR8Vl+jBEkLWg+Rqv/YZ3zB1TF9V6XVAma4DM/4Fy5K5W6+nBmpWcKeq9nVb+WuP2cPdmCRhN8i1Ed2/G87+/8IAXN+1mrg/BuUJdt5p34c7cnDqYpmJKkLtXF8ejyEXqtOscm/8EpdDMmVXlG/ruWyyvcabVYzeE/FpHL6u2IqkQEjaGHHHGT3sVKU2jeOTzap8b08QEdS7ag0XF9fj26nG7J8eUjPqChxG95fOoHPmkwjS03L1AnV0LX6nn06xCqed/i6P4tFLCX8iXVE6ELZWSrz7Ef+Rtj6ji/VV3igibV7b6uQK9htWtLFln2Y7dfa6zllP4LbaKCRnf/F+5YtaLoq5gNdehT9m/dwG/nLuE5eTHZXweVxIVz8Md5TFuznUc2xfEe40WrqoWVxp6dWsX3fWcRCLTzXIFnu08JOTSVhu4blL93mLiOUc1K8vT6GX7b8ANP8tVnYDVT3IfOx6HlUCb1a4SVEYRc3MWEqQs4eCmCRl1cGe/eFgtV0lG2hhA0FzePoXz7qXT22sKP41u9AzEu/AWr509i7YbjWJVvwMixI6lV7PXP+vcLmtA7J/Cb7MfOM08oWbMJg4cOp2phG+4f/5nu3w/k0M2n2BYuT0EHEzoE/MGoanpO7tnOoh/O03/J9DcuQeUX1+nfmOw/ixOPNNRv7cLw/q3IbRP/hQ97fJnNP63g/LVGTJ7fiCOLffBaeozWIyYxvH3VN0HdkfdPMXGUNyd1hRgxZgwmUXE0qh4/f/+30Lhwf910RizeSYm2Yxjv8gX2yi9kDc8uH2HDihVcqDuWpS2Loo4I4uThbWz8/SZDfcYTcfQHRo6Yh+Pn3Zjo7UbBpNzAwefwHTeFjYdvUqbJd4weOYSyr9wb9/YOp+3w3Ty5cYNQlSPFi+Uib8VGrJs/FXuLf/8U1sVFsWX+aKb+dIkeXnNpWVKDhV0xnB3NiHx2myMHD7D1mDUTZnTESXufsV9348ejp3mhsaNkxc+Ys3wNtfLbKiyig26wfO5MNm37C/uabZg2eQRFEwoserVKbh79iZmzZnH2mS1tRsxhZLNioA7n7zNH+f2PnTToNpmK+Sx4dm4bo3yWU6TLVMa2iXcPvC4vbp9goZ8/u04GUvZrN/yGtcPeSMPdS8f5Y9dRCrbtRpMithxZPZk1NwoxY3xPLLUv+fOnpSxdv5MrT8Np4eLP+B71lSp1ceH8ffIQm3cdpmnfEVTPF79er/+xlJG77Vnu9/W/4kN0EU/p/EUtHrRZzYHhNXnXOPJ+QaMJD+dmRCSlcif41f2Ad72WYxMr0uXMl9zY4pfw/ZGPWDnDl4W/HsM2dyV6jPahU/WcyvWhT2+wb9taDmkqMKPfFxxYN4tJ83ZR1WUK476v/s7Yop9cJsDXk1//VtF1lA+HZ33HkaQsNNrHjMuVjzD/E4wudYV+4xdjXvIbpo7vT/74h4aQeycZOXQiNYYvolu1V67O57to23sv87dNQ/wXTWQw504e5I+T52jffSTFc8S/cA/Mc+XLrSV5tMcNp7dfgTFB/LLYn4CNp2jk4kPezUOYb+PC/hVdsFRHcu38MfbuPkf5/oOon82U2LCHHNm9mz+PWDE4oBOO2ij2/eDLjHVXGL1iGbXyvlrc+jhuHNrE3GVrOfT3Q8o160/A+N44JeODqg5/yNa5ASzbtQ/jAo3xmzqOcrktCH92mz/37+GCSUU8vhZuykh2zPFiwvZQZq9cSLXcb60wXQTHt65g1ryN3NcXwWuOP1+UzUFcyCNOHNzPxoMqPKZ9S87ou3gNmcKnwxfRvgjEPDnH/LkL2L7zNMaFazJi8mSalBRj0hH57A67d21j/d8FWDrtq3h3uuY5Swb0wb7PHDpUyv+vtRV5dCp5eu/jr1PbKWz19q+ohAXNs9/3om7SmH/X9gFLH7j9mzflum5g58lT1Csc/16S5f8EEhY0mgiOT/8G4647qKK8j8L4fbYf42cs5km2chz6cx95FCdsKAv7d2ZLHlfWj2iG6eN9tGzSnqMRRWnZqApuUxdQ0+YIbR1rk2fxERb1rqm0HnhhC8VrfkPnhSeY107F7LEz8JuxmuwtOtLIEZ7qjMlbtwfevRpyaVcAPz8tzajOX2ATc+l/7Z11WNVJ38Y/dqyt2N2JgoA0CEpjAQIKipigoqgYICoItiAKLKiIWJjYAgrSIbbYiJ2YhHS81zkHFZV112f3ed69ds9cl394mF/MPfObuef+xjDbyIgzjcZxdvsC2tb/8Vf1ZwhNreIs0i9FMn+OE+m15Ni191cGtPqyGuc8icJ1UwRmMx0Z0KKYME9bbPzvERAewZBugsH2LaEp4815P4Zb+eJ2JB7V1vl4mCix7o0sV2N20rKO4CN+yfBerWjo9qpcoSkiZd8etgS5sjW0LVGvY1AXEMziHBL9ZhPwuD8bls+gdt4TApea4nOhK/4HtiLf6Cm+bt6s3OxHsx5uOFh+4FjsAwqeXuDktTJ2p6Zi0q4mpUUvmTnDnSluHvRvUsqFwx54pnVn9yIjYT8JCc1dA45a1mV/6CVyXqZxNOIiS/ZcxMWsP9n3Yljt58cW3730/PU6MeP7cP7wKvw2bWPbQwkOrDXlbEgSWaWFxEWE8q6dGcmnf6VPs8rl13uRAUxwTWXjHjek2tTi9CZ7LBxiWR16hAmDy+X1n1Bobm43Y3qMFMe3OpB5MQAbh+P4HD9Mo6xr+AXvYY/nOmrOv8i52dKixf7NOQa30UHvyDkW6HYX/lZW9JGE3esIvPCRSQ5OyDZ5xcy2UhQtOc3WuUqVzie5GTdYv3IDWe30cJoxnNcx6xho6M/J+2k0jZnLil1RHEnsxeUn2/kY6cn6/Vd4nXae8BpmvExwR7D0FudkcNh7OdHvOzLPaQ6t3kQh09OQqWduMLLqaZau2c6+a9nEJEZTPfUIrkucyJZaRoj7YBZbjud8z0nsXTaetnVzcR2txYqwp2gZDqa7bGdeJcdzJiSJkQGJ+FlLCdtwfpcrRtNc2HmrBLVvZuD36WGoy+syJuQ9C1S+tcNVRmhKeX7hLBcLOmCo1O0vnXNzo5xoNiqO009jUa7E0T7/dSrWQzRo5xTDCpPexHnPRGv2TjbG3WbqoGaEbJmDk80mGlgvwUWxPiHRl3n98i5nom/jcPQWS/TaCv1SPt4PZ+ryUKa7rEChTRWS97ozxdmfnLruPzQ55aeH06qrLlNXrOHxpYtQlknS2UhaTwwkZq0Z767HEXomEceVKxhoc4AQFx0hico4OA6Vvc25c3Cd4H8cmLuBwJM7uFVLm4SkAFoL+UwpnpNlSRgUxMFJnxSqMl6nRrDaOxylKbMxHNCE8HUTcHAPRS7gMoEmXUg64kHQxs3setudtJTDtC5+ylrXAPYd9qXKlFASprZim5sr8Q/fcCnqOPJu8WybMghKMwmYb4FbYif2BrswqEMjTq00w2DJEVR1hiGlORP32arfK5ml+dwO38yakEcY2zuj07UMv3ESxPYIZsc8ZYL8XfFeuxcD7zicNKrh6erO1cfvOH7qDGN9k9gyUUYYRfYhLRr31UG005/BJMOBpAZMZfjxttzeMxGfjd6E79jMxwmHiJ7UiqOblrI8OI3VkSm0TljJRIe92AQewHZod15d2ckQqckUK2mjPLAdhTl5PLkQTfS1UiIf3Wdw+2qQex8HNU1eDXNlh7Pl12O27CMHrfrg9EKFSyd38EuNikyyckJTkv+WzdY70NpjT5e/6AsovHOE5n2tmBUci4ux5F9013/Obb4hNFdp1qKJKCy4rIS87ExO38svJzRASRbeOhp4vm/whdDc2krzfn4EvYpHt6nAsFfGwZlGTNj/lKSbKfQVKnO3mVKlF1UqEJq8+5G0HaCHmW8yPhZSUPqQBdU6cWnWJk6sn06tT+G3WcnMNHRj4YmjtCknL0nrZqLs4Muy0/dwHipSEn6r/CeE5tbzUpo2+QVKi8ltpk/wLkdUenaifu0Ku4aSbPxHaZEz/wxzlOqJQjhLzmNYfRBnbQ7x1ncktb8jNPkcMtFmzt0S4uPjEWz8Xx2zoeWY80Q9jkW9iWDG+pbQiFqWutMOhXFXOVFOaF5e2stAdXcCr11Bq6OI1JXkvsVYrSdX6rlwPtKWprkvGKKuxPOaFoSdcqR9w9qUFsSjVUeFxjsectCyA4UPdjHA7Cxx57Yh6KqygnfsinyKpZ7oYxESmrOSXIjwRLr5L5S+u4xh04FUnbOZE+snCetkP09EU0GJOq4iQiMoGcen08I6kX0xYYzs0ZwaVUuJ2zIR1WkHcNwai7v1wEq6LI0J/UahsjcW6z7ljnUlWfiNboj9o8mkX9iM0B3uJwjNkXnVcP+4kfO/ThdoLIR6+aM4fXa5unQHk04jGBV1GfOOIqP0i7OudDb+lZMX0tHoLNoR3z2xAiO/bI4eXE5nwRh4fx2tDnL02XwOT7N+lbTjNavMdXk/bAvuZlJUrwI3j7siN+oqie8OIVkfTjiYMi53HEkj7hPwTp3lo/oQv9GMIVFSZJ5YJNwxhq0aj8szbU57mFG/RlXy7xyjaf8xbEu8j6m0BDeDxzBsdQ+CHHtRR2sEfarnkF+1JonOA7GKl+ROzH4aCVWrUk7MNMXiwEUSb9ynt6CjS9+xVLcpiSrHObPYQNiG0uJcwhbOobOrHz2/Cel7GO6OrM5aPG59wLLnt00WEZrT9ZvSqt4nh6YyinJrsWDHGeYN+2sJDU/20KP9eMxjclim+j0xfhDpjbLWTLxvlzGyG3y8cxIJyeGMWxWNn72yYJlkw9DGbKo9h/jdbrSoX4e8ZxcZpKxJS6XtnNw9glq5D7DpLs0vPkmsGy5qcEneW0yH9ufShyU/JDTXDy2mn8kW9iVfZpRMK6pTTMz6Uaiva8K9VwE0ycijJDMFOWVdFD0vsXNMX6qQzc7hEoT3Pcgud1F/UJiJo4E6YUobOLdUDZEmcAPz9uYYJ8Rj1E6koGTeOoGy6hzcIhIY3l9C+Nv9EytQMDzKzhfJaLUUzE5FxLr0Yv51K2L3LaZmVcEUX4TlkEHIr4+j3qlAuo4bj0K719j1lKSqUyKbxkny9rQDbS2iCLkeg25zEXt8FDaPjsbbCEq8wzhJ0fO+LY+StqAw9gT74w6g3EYwJl6ySrYDD83D8JszGHKvYN7dlDGR0RSe3kCvUY50Kb1Dh/6DGeWXgu/oPhQ/T8RQyhDTgxexUukofETsBhOsr2twd6sNVSnEebgkHVyj6f0iFRktTfKys6lbJ5NRA7qSZx1P+Fy58rDqW1hU6UPD7RfwGS/avKRHrKKf3iICz7/HtL+IpOe8ukfkjQyGa4g23p/Lx0dY95EjVcqCuAPrqbgUCLAV+tAEhdG4aTNql6cyKCst4sMbS64Xe/xlhIZ3KWg1laeu826OuJpXiv2/+cffVmiKskneaEa1sZ8UGgFMuezV08Qpo84XQpPqTwNJf3a/TMSwhYjQRMwby7CtEURcf4ZiW8Fn+AcIDY9YXKUjNxZt4fAK0UIpKK/CF9N7YjCmRiP5SuUDFIdPZ5TKX09oRE7Bszi4ZBgTV8WzdH8CzsZfL1xFHx6jrS5HbSkL0QJRsdTTZMkyXRpUotBkXDlB0NUGzLBQI//ZTU742zFuxXtOZcShK7ThVU5o0o4vR3FYBAfKCc3RFRYYOzXiZqE33T6pn6VF+FvpMjfsLmcu3EGh6QeGqKuQ3WQ5Z8PNEU1Hr7GSbs6HWfc5Mr4TJYV30e8pzaPOo5hhPQ6jEYNpWfeL6vW9U/AzXKu0JdluPae85gjvmPv6Bloqfam26AuheX1iBs3tbnDrWjg9Py1yb8+j0mwQdeZu5vS6L338Cbqc6GVImJ8m6lYk8o2+KGEZ4Y500Qlg7ZUnTOtf86cIzdMYD5SGeTNsdSCrJ6tRoWlkJ69mgE0yickHaSEMqSzl5DIzxu1sw5WbnrSrBSWvzzFiyGgMfeKZotyOwvfp/LrCkePZmuzwnELrb81nZUWkeNtgtCWP+LggOtQv5f75UJycfVBbso1pym2FzbU16E/Z6PX0rl6KzRgtqvMaF+W2XB95kgNzh5BzcwfqZv74nIlgUIs6fHxyEZcFTjwdsBD/uerUL8th5QhNTvWfzpLRmgzt/8lJ9y2+A3qzrctokg5sEm5OyorfY6c9iJh60zm7fxafxLFtM9syMW8ZJVsnCRWJnEcX8TpXl0Wje30XOXN+y3jkptzjTEYCQ75bwypTaEq4H3mQS9WkMVb/iwlNXhRKdTXodOAlu4xFZqSKJe/tA7x2pWA5zRSJvOfEH/VHd5IbFk5RBCxTFarN3oYN2dHBhxRvW9GlWQ+RHaRMg34bObV/FG+SttBdfSrB1/IY1qOcNP1BH5ots/TZVGchKatU+OS7eWfvTHp61+J1/DoEAmvqERfUTfay+95VdDrUpOBZAoPaq2Aaeo9FWiIlMu/tDXSVDBi1+wZ2A0UMMydhBX1nxBMTe5QO9QUffi5OBho8Gh3E9nE9ys1lReybK8u020Y8PumMUCvOeYB1T1mK5x8nyE5B2L/F76JRVPVk8SoNqjYxxECxM/k3guiqshLPuFhM+jTnmv8g+vu35E3iIZoKV/EyAu21mRlWk4SYQ/RvXonSWvICu8HaMPcoG4d3goJ37F65iDUX6nMwyJ1uTWvxOtqNvpPDcJ42khaalhgPaM6DSA+k9T3YfvUuI3rUxc9+KGueWXI5eBwNygpIObSKRd6XcdwWyJBuAhn/JErq7tg62iCrP4buTUXzVlFeHGpNVRkWWcxCBdF3/SxsBYPMAlkVHo9FuYnvfeoe2slaMvvkfdw0Owjr3Tm+kVzJiUh1+NqcU5KRSncpVTqoryBsp42QEH4plSs0xTnPWGkUzJjweX8doSm6w7SaPbls58c5r6nfjf1/+w8/9qF5spe0Gmb0+GwCr4TQ8IRxfdvDoofsGCsYFGXsnz6CabfUuX3GnubCMfafE5obQWoY+NQhMfIkrX7HvFRZZ/4nCs3nKKfcu4xt3Z9jXXRJvRqCaI8gKrmvrzNEuR+mgdnMUvytAMjKfWjy39/BdbwFF9qbsVTuLsrjL/w0ofGeLstM337cyN1G78+Laglh00ejuyeJfQmpjO5Q+LuERtCWFxcOYqxnQuKbKjSQkCYw/DijBojs+n8poeERTlU6EjbFg4v+9t9111W/Pgxw+oWItGg0hWqVqHy8uZV+fSajeywDH0OJnyI0lBYQ4mSA2ZZ0dsUkMrrPp8Gcz9Hp3Vnzxpbo4IUiVbK0GJsRMhyT8+HxYiWqUcJ5H11G+udy9uRBnkT4MsPtEBPX7sR+pHSlCbVKcl5iqKnAO6MdHDGphZ/bEg6860vQJhdk2n6yjzxAr1N/7jYxJyzan66CufPBMXr2m4lDbAITpRsQZCyNd6EpxwKnEunrwoRdL9kT5I2xfCehGlic/ZLhg/vTXHUl61Zb07SCST/j+Ay6TUkhKOEsI1pms91hFK43BhAd9SvtKyjlBxerYnJOm/dnnBDsT6PC96OgYUztSjI3RnsYMHju+58gNJD/7h1X379nUJe/SnD/NCKSGVxFgTa/QWhEtbI5tmouC6NLWD5JGYuxkxmz6OwfJjQ3/BegOG0Nh9OK0O1arsz+IUJTwBR1SdR33WGMiLsKS6SbAovfTyVpvZXw/wEzBzDp6QQ+Hp4lNNecC5yF4sSNnH1U9tnc9zJhAzIWl4l8EEQP4VUFhDpI45pmQcTBRaIozGtetLZK4ualvcI+FJZHJxnQyYDe60+zx36o8Ke3N47SV9mIDbFZmPYTfVuZp+xpZL6N0S6R7JktU2G855MQG0WHRtXgRRhyvaxQ25rAylFtuLZ3HoaOV9geG8fQioOpwtecHbWchrbxXI/eTU7ybqxt1zBk6Q48J2sicnssItLFAN1Vj1iy7wiLh4kUsBPLzRm1rzsPrrvQhisMbamPYXga+gVncXV2IKOHHTs8piEhkDyBZyFTkJudgmdELKO7f3FmKyspwF5fkj01JnFl3xzqPAhFXd8SubmheM+U/xytm5sWRgtJQyZvv4iHqSTFj86w9Hx33I0F69jXJf/ZeXrJaNJJY/UfJjSCO9zcHkgtqwl/HaHhAfOqdCZOTGi+6yPBDz8Z5VQZoYEn8TsY7hjBEJX2VKlVk9zc6oyfvQCZlp92+v85oXl8bBKdJ6dwMiEG7a4VU1kV8+RJBu3a/Tgm/08RmuqQdecgQzQs+CizhrP77BCKUIKp5V06WmrSoLOL8DWG1P68UJTyIOkKEgrS1PtWoalbyIVtbtj7X2O2rzdGMm15c9IOCYOEnyY0+5aMZOzy8xxPf4Bu50+rmYjQmIY8JeZqAgN+ef2HCI2gPSUF74k/uYeNa1Zz+mUXTp2PQkXiv0FouvFiZQjbFpbL6hWGZcaxabQYHorPpWvYSolCVAVFRGhWsvZROkbtf87kJJq505lvNITgRtO5eXCeaMeaeReDXgo0cw5lu42ckCSUFN1Dr5cCBgeeMlNKIM9k4ak9mNX3muO8zJoBkpL079NVlA25FCpLAJL94hya8vI0NlzJJD1Z+vXpR7f2ElSr4MCel7KStto7WJN0jok9BRNxCVe3TmLo2nTiEiLpUfMpQ6UVedpsOI6zh9FzQG+kundEqGSXP/dD+nFUpOYwM/4yUyS/J9SXj3rguD0dpcH9kOwji7K8JE1++TocLMbXGk23JqQ/X0vtpJ1cq6bJELk2lWbAvXt4EVKjdrIr/Skjv4sU/nGUU3HOB9JyoFfL72PgP946SmKmDEPlW/Pk1gOa9OpcriRWOl+JfswMRbqRHkonP7BJ78s4+XTF6xuhTByznP7z1uE8RoHi9DCa9TPE/CcIzb39S5AxX47jsTSc9buKbv1HCM3LENSND3I0fg+f3+zDVcwVdND2T8ZKtQMU3GF8F1nqrU3Ex7wvvLyMj8dqZoZK8+zyfET+sCWELemP4/sZXNo0Tfj4suxHmMkoUjx5P/vnCQh3IWfsW+H8ZhrJO92FdUry37HDdzk71x7AdF8CUwXPE/hH7ZyPhksuV65700U4h2Wz07gVSz9MIjF0Ay1rCMzNb5k1VI3krs5EbzUVBmMIyourp7BdFEAvRTX6SPZGRUme9k1/axNXROTi3pjsrcdSp3n069WX/v370FToHygqZfnvsNVRIbzWUOIPr6N1XcHfMpk/tCcPzSPYb90Hrm2kUX9vxvsuQrt7L3r170PHpvVFhKhM8C+LgBEyeBUYEX/cnQZfSyYUv7/HpsX2pNUdSM++fVFUUEGm+zdqXsZFWndSwnB5FH6zpTl9LAqFETqV59vKSkezrzz5clM5u8+Nr3Pk/X6U04crUTwoLcZjtjbt56TiPkJkmhcEVaTu9MHWfwtuuxNR61BOzD6+xG3ZbC48acWhYM8vm6e865jX7UeGwzYi10z4wUfy7/zTTxKaj+zWHYJzRh3iY8qdgssK8fJcwxjbhUh8bVisgOhDbFp14qntUQ4vHka10iLSYgOQ0Z+Jhf85fC0FNs1HOFbpyK1vTE68OINKZ11uqjlyIWQxHevWpEpZCbkP9xH9VAU9lR/7j/9ZQiNoRIyXLUPtN2PtG4H3VHWhTwSFH1g5fAhLL2YRdDoCE8n2wgWnKPMOzr++wm2hKtUpY9tUfewPtRCGbbcvfY6+hhxvFXyJ3zhMKEe/PmFHc8N4TryKR6dJTapVfyN0Cq7j/IRgsxZ8zId6dWtw5+gyFEdEcajc5PQg1hs5bTt010QTNFNVtAiVFrHZypD19adx2WcEdXNeoKmuTE5TgclpTPlCkYGVVAvezUrnmFVniouTuHShI3LyIkUm80kCgxUHYxacwXzlRmy2k2FquiUfTs4qn6BFJqcku/WEfjI5ZaQyVFmS6k7fmJxsU0m5fhrZ8oRSJS8TUO08gqnRVxknVwkRLbyEcXt5YoYF8thvLHXKJ9S34QsY+GsV7h5ZJUrOVviWJeqCsG1jok+70LiSsO2i3NucOZuLnoHIXv4kZiNKWtc4U7BVuNt9nXqIfiqW+CS8Rq9zLerUqU7BtU10GRZNxIODdC4uoWaVXDwMNNiU0ZfIyK10blwdQfr7d+nJ2NlcwyPCVui8W7HkvEhEQ16FHs7n2TZBihrVoLggl3Mhm7jScRrTFRoQu7A6C1+5kRjoKLq0KAs3Aw32/WJH9N6xNM1/iPZAJT5KLuZksC0Na1alrKSQ++dCmHOkMQfWaJO23YqBx7uQdcj5u4R1pR8SmDjDh00Bu6hX67eToKTuc0LV7CERTxZx9mI1HIb3+s1Z8NWVIJRkrLCNzmKO8rfRFT8iNGXcSTnCxyYqSHf97RTXZcUfmbQ8kFUuM6jcK+PLq5Xd3UqHXmtYdf8uY77fTLPPWQOzcGVeprgK+yf3bqiI0CyMZLOjPFVq5bNJpxG7u3qT4i3wrRIM/IfIyitTv68XoQeM+HjjKD3kjGimNp2UkPXUq12dwg/PMNVX5FrmQi6k2nwdYSRaqkkPMGBqkj4RW8tNWWXFnPUaw6xr+iRsHU+DqpB3zot6RjuJPXcW+aa5BJ/MIDNqHju7ryXOpg81alSH0jRmtpCl0YYYXEx6QI3aZN6LQFZ5OMvCn9M99xlyik1Z17g9+/XmkrRrBVWK84ndvZjcmq0wd9zB2Zg4BrRvQLUqZfjaDmRry1WkOGpQtXp1qry7ir6EDFLBF3Af3V/49h9fpqKpLI/+lscsUmtM9apVoTSHOZMmM3J9ACqN/0iu9ALOOklhHNqJq2cO0LZpXeF8/fHVLTznz8PIM4yOZbfRVhzAsO1vmacoUi3Lnh1FqudyVqVHoNmkITVurKex1C580hMw7VhXuPb1mJ0AABE3SURBVKAXfHzLie1etBw6G/kmr5GSU0FqdTzbTXp8TcLLSji63JhdbdzYZ93nt4/o+ZiGRUtJmH4QT50b3Gtrg4JQLq2klL5hveQAAlprcuHkdur+AafgT3cpyXvI0gXnWbjRhFS3apzoe60CoRHU+sByK2VUXSoQGsHPLw5jYx+Ld0VC8yoeuVZayG4Kw2e6wHwqLhUREBGawtc4GvVm5YlmHLqZzKhe3+96BBcVZz9nnIYSpzIliIqJRqpVXUjfSW9FZyS1VKld7cvkWa1Ga8zspjO0n8C2X0zIQmVG+79BV1eZBjVbYmzQC2vrKbSTN2HsXHdmdL+NRmcd8sa4cWm3U4XQyVKSgx3Rn7SORr3UUezThipFxdTrrsvSBRa0+FEIcHE+rhbdWZowkrt3POhW0YGiknHw5loIClrmVO85lZhQT5rXESlMZbkv2DBWhQXRhYyydcZttgVdJWqT/TASq+EmhL1uxRBVGRrXrkrVmhJMc3FHrlVNKPuItfYA9qb8wplriSg2z2feKFX2v5QkIjKQ1vkP2O25CJu1UagambPIyQkdqaaMVWzFgdcDMFGRRHuyM5YKDdi/SBuzVbfxSb6JzaAmUPCeg24Tcd73Dtd9IRhLNeTt+QPYbUhlqbcrPRtXI+txHGqq2uS2nEz8WQ8k6lYj78lJtPoZcM94F7d+HUu94hgm6O3AevNa1Lo24UlCENZrr7It2IMOPGDGkJ74PBpOysVdyLasSdGrC2i0lOWp/iyuHtsgnKBfpmxGUX0qja0OErfJSOinIvShMdrH8EU+bF5gRPPqBfgtmEFYHUN2LBtJg9/IHXM5ZBUGY32x8A1m1QQlMu/HYTt5BSNXbcVEVuQnkvvqKqPUtLlSrSsR0RH0lfg+y1TeNV+MFz/Aa+dKutYr5MiaqQSXmbLb0UA4ti7sXICG1SuCz0/nl9odUe8twUWPTow+Z86FVTqkF/RApqcEj0PdUDRcRSNFDaQ7N6Ps41t+6aGH/dzJ9Gj8fWa30oL3rLBSZ8XJt2hoqdGsbhXe5VZB23QKU0YpU6PgHuPb90DC8xLrLAcI21OY+Qg9tX40nhLCHLU+KPRuQuLacegsO4OkxhC6NqtNYeZHOqmbYG9jRrOaOfibdOeq2h58Z4hCsSuWnCR3uml50XfoUGQVNRluqMvA7q1ERLxCuRe6DmW9PUza7MIsS90fbEig8N1dtFQVaGQfQ8jEvhXEqVLynh5GrZ0xFy2DyQwyo175cwROkbfPBrJwQwqb9vjTquQxTi6radXdiB6y0ujJNuXesQlcaWNPmcdS7BJvoGU4jCXLVtKi6Bbubh7kNu7NkoVzaVrh232wYzjSPg25f25HpccPxG2Zhu7sGPwS4hjbtxZhW9wZbreOtr20mbnYjYlqeYzuqMRFZTuuHfeiVW3IehCLvIo+NXrYEntqJQ2r55G0YSojFh+g0UBt5Do3on4nadIitnDuzi/YLnPFeYbON2pSCZf8zNmYpovvmgnUys/g+JYVRORIsnCONW3Lo5Qu++mj5ZtP1EEvMh7nIK3WmwWaA+iyNh7VKlnIy/Um7/puWivPY3XwdtrXkUBVSZrH4WtQHZXE/juetKnTkm4tq3N94xBklqajq6tB/XqNUDO3ofedpZh6VsN3szNqKr2oX/U+k9rI0mbzWXRqfWSAhgJZ57xpo7aciHvPUG8v+hifJfmgqHaStbGLkO0pQyeBH1vOebS7D+Zl7yGoyyihO9IAZalefPb9rmQezU3bh6qyJe/bqiPfpzU1SrKpKiHFNHt75Dr8wqsUX+QmpxJ7+Vc6lC8Z6cGGDPIoJHixHd1UtOjY8C3WijIceCaBlmpf6lUvpbRqE/Qmz8JYoSvvbx5mkNo6tt+MQ63F16Rd4Oy82HgQvqk10NJSQ0tDDwNtBVrU/8bfp/gZixt354SsNcuWz0FfqVO543WljIaHuyzo45HDvYQQWlVUnEpzCDAzYHJ4GoGRKVhVSDopWDP9XRfzTNOVFTptSRIQmlb7eRZ3HKT02T7L5DtCk31tDzM9LmA5VZqDXhe/IjRvknxppe3KzqjLmA38ktlcTGtECFS5c3JD2YSFAWRXRETThWTPkd+E4j1mpaQBwZ/rybI9NgDpRoVsm2OO15k0yipOmGWlZNbuyaHIg8g0EAgaT1nnMJ7Qx51x/XU9CjVvYTp/B0ZWVphq1mSqlCWXyu9dt1kbtgQfpV+LTxETxTxNPoTbqs0k36+GqeNiFpqqlttjK+/K13dCsbBewIsKDbPZdh4bmUqc2Iqz8Js8Ad+LaV/dbNjSPSw3EkQgCNwrrmOtNYZLgoQ6gIVPLPNVGpH/IZ2tK5cTHHqLNkPNcFlgQ6/mteFjOvYKI4n8fEdN9l/zpMurCyyeu4DEd62ZMm8R5n0zmTxhCV1n+OKkK3KevBMVxOy5m9Bavg17na4EzpyIZ/yN8jt1YGXIDvTLzW93onaywmMdd7LbYGA5G5uxWgiDzR5FImlY0U/FjM1BXXGY6kZmvuhWciOn4b9EmYc3f+FGpD/r9ybQSWscK+dOoFnxI8wtJ3D3aZaocttBnAiZjpvcOJLL36R+45GsW1jC1AXHPrdSxtabbdNURYTG7gYp+2eyxW0jyVmNsJnngo2eaDf4o5LzIBZ3tzWcPP8YJRM7nO0nlacIgIdn5jJs7pmvLpfSXID/+rFUTEOTERFIXr/BnPFazpaYR2iNc2CetTYNy4nUzdANTPROZcma1ej0aSbs45fhzliuTmPKxq2Y9P0iqd8648uiZYF8aD2Q6faLMFGsRBao+EZ5T/FzXkjA2UdI61uwyMGKjuUqVd7DGOSHzWT1gQR0eoh2g4VZT7CdYU9/05XY6nf7nME1KmAx831O0GLgMByc5qLWsXyjkXUdG01b1PyCMRv49RlJ2S/ucmL3AQq79uDR4UD2nrtL1ru3NB1kwZ6gNfRp8oX8PbkQiOGMWAJPBSJVnufnN/ulLI/DMwxZckWL2Jj5fOJyXrMkCYj6cX/2ttjEjvlq3I8PpbCDIrXPb2Xlez2cu0ahbTad0b9ex0WnNUaz57PVbwsSBU9Zv2QWY5Yc4vbu6QRVn8B26/KjV0o+4DesOXEyB9jtMrzSB5fmvWHnanu8Tz9Hd+J85ozqjffEEdyRmcd2BzWmj9Qh8bHo0nqturBtuRWjJzl/uZfKfBJ9LIRHA1wL9WH+An9qq47Ba6UdW9YsoUE7DcyN1WlXwc+r4ovcitjGwhUbyGwgj90iFwwHtfpqocy8uI0xjjuQHb+WhWNkqU0Oy2zNyJNxY7n1AKHiln8vlJFj3NBd5otd+TfzIM4Pq1UXcfPZhEp5VB4UsmmuGYHp7fBc7YhaDwluH3dnxrHa7PCwp3V9Ael+wBKzqWQqO+BuO5R6VeHSDjcmedXjVMpsPnkGCI5+sdt0mbmrVzOoVQ0Kcl5y7uQubud3JvfRCQ7sTeRp9luKG8mxYddORvVv8pvZhh8mh7BgqTvP6YPlrLlY6vT/rLhe3TMT1weqHHISLOaCUsr9Q4uYHlqHbZsWfyYLWY/Os3qhM8efV2XYyKnMnqJPM6F5Cm6f3IB1cC1O7LKh4tAVpFhIvxBP+K23dKrzAG/fI6Q9fcmrvCpYOW1llc0Q6n4+UPUdv2r04JL+brbM1fq9aQkKrzK663hGRsdj3lk0PzxPXo/OlKAfXyshxd4jm+ldv5aQ0Ay/voiM3c4snjyUx0N3EmTeELdyhWZAwVX0Nz8mdJ0xKYtkWPJgCLGfFZpSYr0sMQtsSUri+nKC/Puv/W+q8ZOnbX8PTVH6cWEyr/Ha/b6W9kqLuXtqJVHtnJn6+2vYvwnzf0VbK41y+le0/P+xke+vMMl6KVYbdqFcHqVRmJfFq0fp+DpO4mi3lVxZrfXZRHUzaje5HfSQ6fxbxyx+3ZaCt3FYDrdn2p6zaLT/nYyClcBwP3o701bsQH6oM+PHKdClRW3RjrXvta8ITZ0Ub9pODEa+TX0Ksl6Q3NaaN/tnCdWQzFvH6aW2hQNX96FUISfU/yPq/9BHZ+E1dTwFZutwGNxFtKkryuN1xmPC/J2ZtbsNqTc8afc3S8Eft9kBm/M9ifO2pnGtKsL0I1lvX5KWcpBpc7axPjwG1Q4iX66i17dZf+A2U62H0/iLE+QP+/PsFltsU7U5v3G40BfvZ8un8S7woXkTvwZph2akJo1iYzmhKT7uw1PFCYyXbgkPg7FYmEJQOaER4G9rZIaUexBT+jX64WnvP/te/5T6f47QFDxjziAZymyDcRojT5O6tRGYXQVSc+bLRxzbk4TSLEu6/JWp6f8pyP/D2/E8ZBJt5qVz41o4vX+kT//DcfhfNu/d6YX0dLzBxegQ2pVnixY9v5Roryk4lliwUbc9vds35NKZfTzvaMboAb8nzXzdgscxATifKGLNssm0+Mnc67nZb8m9Fozpwu0UDlrDmXUaXP4NQqMeJkXyEiWheTD7zRvqNGtG9aIPBC52oYbFCiz6/V666f8l8v/AZ72JQKXXPBafi0G789cuCK/ivRk0t4TzCbOQ+F+fp/U7UDuY9OOy+gHCpvf8Opt14WMcLCwYMsudNh360rzgCWeu3MVkhBE1P+U8+yPdmPec9Rbm1Lb2Zbr+J8feP3KhqM5XhCZhLQOXtOF6pB4bygnNq62zeKPvhq18m699aErzuHHQhUMvh7JkluYff+C/rOafIzQlORx0NmfKhjgat29Dvdo1hSqNwHGySmsdfH0cUfiDu79/Ge7/7OYWvWfnlEGM21PAmtBkHDTEtt7/RYeX5qQybqgej6UXEOAygW7NfqEk9z3nQgPYd6EhU1QzGGzpTYc+irh4bUR3QOURTT9815JCHiTsxmfPC+Z7OND82+RQP7j40l4f0jobY9L+GS2nXebOkYnc/obQbPRwo/ab16y2m4aexzGGtClhV3gGxoMb4D19KW2nLMZUubN4d/rfHlClH9lgpY3nw94EbVmBWvdmVCnO4/7lULz2nGOikwv9JGr/7fohYfsc1ByOs3bbXqbrDaRmNch8dAUvNx+aDBlDguckTj+rg6aVIxsXmNDyK+L/x0Aty81g1+q1PFewZZ5Op5865FNAaPzKjhPkqInzlBVIr17IyGYFn52C2z7ewwibV5y6vpTs7XKo2j/EPfIZHZNWk9xEizmjBlL/6xCrP/bS/5Jaf47QlIP0/EYsu0OOce3uK2jRDb2h2owYOuizzfRfgqW4meUIHPe1ZH/SFziUDBYxzfTr84nEYP13ECjKfkPs8QOEJV3i5Yd8JHrIoD3UgMGyXSh5exGvgAjUzWch3+HP2Qqynt8jjVYMbF3J2QO/0bSXjy+SFr6TzbFVmOC+gp5vQ1ngcVjon+XjPpUDXsu5/LgLrqvHU/P9VZa7rON51fY4ujjR6H06b+p1p1/LP3di8X8H9X/oXYtyuBR7khPhcdx7kUkjia7IDNFimMag8gzUf892v7sbz6HDYcRefwQNWzBQSp6RI/To0BhiNi8jpYEOM0wGU+erSKWfbEtZATdPhdNEcxgtf/JT2unpwOmr7zF3cEevTxNSvNaw6cJtUB3PzskKRC1yZtvT1xhYjSf31kvGT1fh/LlSBpWfr/eTb/qvqv6XEJp/FWLixooRECMgRkCMgBgBMQJ/OwTEhOZv1yXiFxIjIEZAjIAYATECYgR+FgExoflZxMT1xQiIERAjIEZAjIAYgb8dAmJC87frEvELiREQIyBGQIyAGAExAj+LgJjQ/Cxi4vpiBMQIiBEQIyBGQIzA3w4BMaH523WJ+IXECIgRECMgRkCMgBiBn0VATGh+FjFxfTECYgTECIgRECMgRuBvh4CY0PztukT8QmIExAiIERAjIEZAjMDPIvB/3kRQUZuZa4UAAAAASUVORK5CYII=">
          <a:extLst>
            <a:ext uri="{FF2B5EF4-FFF2-40B4-BE49-F238E27FC236}">
              <a16:creationId xmlns:a16="http://schemas.microsoft.com/office/drawing/2014/main" id="{17757D12-C02A-49A6-8417-B53B478563D8}"/>
            </a:ext>
          </a:extLst>
        </xdr:cNvPr>
        <xdr:cNvSpPr>
          <a:spLocks noChangeAspect="1" noChangeArrowheads="1"/>
        </xdr:cNvSpPr>
      </xdr:nvSpPr>
      <xdr:spPr bwMode="auto">
        <a:xfrm>
          <a:off x="6200775" y="11039475"/>
          <a:ext cx="304800" cy="2874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376</xdr:row>
      <xdr:rowOff>38100</xdr:rowOff>
    </xdr:from>
    <xdr:to>
      <xdr:col>0</xdr:col>
      <xdr:colOff>114300</xdr:colOff>
      <xdr:row>378</xdr:row>
      <xdr:rowOff>0</xdr:rowOff>
    </xdr:to>
    <xdr:sp macro="" textlink="">
      <xdr:nvSpPr>
        <xdr:cNvPr id="11" name="Picture 3">
          <a:hlinkClick xmlns:r="http://schemas.openxmlformats.org/officeDocument/2006/relationships" r:id="rId1" tgtFrame="_parent"/>
          <a:extLst>
            <a:ext uri="{FF2B5EF4-FFF2-40B4-BE49-F238E27FC236}">
              <a16:creationId xmlns:a16="http://schemas.microsoft.com/office/drawing/2014/main" id="{F7005018-4D4F-469A-8ED9-E742A0541DC0}"/>
            </a:ext>
          </a:extLst>
        </xdr:cNvPr>
        <xdr:cNvSpPr>
          <a:spLocks noChangeAspect="1" noChangeArrowheads="1"/>
        </xdr:cNvSpPr>
      </xdr:nvSpPr>
      <xdr:spPr bwMode="auto">
        <a:xfrm>
          <a:off x="0" y="10027920"/>
          <a:ext cx="114300" cy="933450"/>
        </a:xfrm>
        <a:prstGeom prst="rect">
          <a:avLst/>
        </a:prstGeom>
        <a:noFill/>
        <a:ln w="9525">
          <a:noFill/>
          <a:miter lim="800000"/>
          <a:headEnd/>
          <a:tailEnd/>
        </a:ln>
      </xdr:spPr>
    </xdr:sp>
    <xdr:clientData/>
  </xdr:twoCellAnchor>
  <xdr:twoCellAnchor>
    <xdr:from>
      <xdr:col>6</xdr:col>
      <xdr:colOff>875216</xdr:colOff>
      <xdr:row>345</xdr:row>
      <xdr:rowOff>16921</xdr:rowOff>
    </xdr:from>
    <xdr:to>
      <xdr:col>14</xdr:col>
      <xdr:colOff>0</xdr:colOff>
      <xdr:row>356</xdr:row>
      <xdr:rowOff>255830</xdr:rowOff>
    </xdr:to>
    <xdr:graphicFrame macro="">
      <xdr:nvGraphicFramePr>
        <xdr:cNvPr id="12" name="Chart 11">
          <a:extLst>
            <a:ext uri="{FF2B5EF4-FFF2-40B4-BE49-F238E27FC236}">
              <a16:creationId xmlns:a16="http://schemas.microsoft.com/office/drawing/2014/main" id="{45FA2CAE-35C3-434A-9F32-429F1C660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0</xdr:colOff>
      <xdr:row>379</xdr:row>
      <xdr:rowOff>0</xdr:rowOff>
    </xdr:from>
    <xdr:to>
      <xdr:col>5</xdr:col>
      <xdr:colOff>304800</xdr:colOff>
      <xdr:row>590</xdr:row>
      <xdr:rowOff>178399</xdr:rowOff>
    </xdr:to>
    <xdr:sp macro="" textlink="">
      <xdr:nvSpPr>
        <xdr:cNvPr id="14" name="AutoShape 1" descr="data:image/png;base64,iVBORw0KGgoAAAANSUhEUgAAAjQAAAG/CAYAAABPFE2FAAAgAElEQVR4XuydBViX1xfHP3SXgAiKXVizu6ZO58KaPefsBEHAFgXBxO6cm06nzprdXbNmYM3EQEW64wf8n/si/g0QVNLd+zw8m/C+5573e+577/c959xz1ZKSkpKQTSIgEZAISAQkAhIBiUAeRkBNEpo8bD2pukRAIiARkAhIBCQCCgKS0MiBIBGQCEgEJAISAYlAnkdAEpo8b0L5ABIBiYBEQCIgEZAISEIjx4BEQCIgEZAISAQkAnkeAUlo8rwJ5QNIBCQCEgGJgERAIiAJjRwDEgGJgERAIiARkAjkeQQkocnzJpQPIBHI3QikXRkiicSEBBCFI9TVUVdXR01NLdWHETKSr81AlQk1UNfQQE1NPQ1gkkgQshIzJktNXUPRLa2WmJhAUmJi8nOk09Q03i8rKSmRRFVCemKUv6sJzDQ03nNtEgkqVYb0Ql0NDUVW6viLThISVBnDTF2YUzNNWwpZiQkqkjKIvzIu1NN+zsTERJISX46j9PBPB7NkWcKWGTCmOmhoaKXZ44eNWbWXYzYT8FcTY+PNcZbWO5jW+5ahAZgLL5KEJhcaRaokEfgcEBCLc2R4OP4BLwh4/hx//xcEBwcTEhxEaFg4kdExxMVEK49aulQJfu7dD11d3VQfPSAggCULFxIcHER6pbPyW1rQvWdPrG0KpSorOjqK9X+s5ZrPNcQC9r5mZGREl27dKFOmbKqXqVQqTp84xo7tO1AJkvSepq6mRuMmX/Lt963TJG0+V6+yauUvJGZgQa1VqybtO3ZOk9RERoThNcGTuLi4dIdT8eLF6d2vf5r4CwEL5s7m/v0H6eIvMOvZuzdFihZLtd/4+Hg2/bmBC+fPp4u/trY2bdu1o2btOqnKEmTy0sULbFi/ASH3fU1DQ50GDRvxfes2aeIf8MKfBXPnEh4RkS5mRsZGuI1zR0NTM/Ux++IFSxcvIjAwMF1Z5ubmDBpsj2m+fKleGxsTxbLFi7n/wDddWcYmJvTo2ZPCRYoopD4iPIzFixaio62NiakppqZmFLDKj4WlFVYF8qNvYPRe8pluh7noAklocpExpCoSgc8JAb8nj5gzYzoX/7lMSGg4YvEXBCLlRxCTFHJSs0YV5i9ehlgMU2sPHz6kd89e+D15ku4iWLxYYWbNmU3psuVTlRUeFsrY0aM4dOiootP7moWFBVOmTaVe/fppLs7rfl/F9BmziIt7/4IqPA29+/RkqMuwVBcQgcvBgwdxchiS7jMKZdq3b4v7BK80F9SQQH+aNm1BVFRUusOqRo3qLFi8CEPDtBe37l07c/7CpXQJjaWlBXPnz+OLylVSfc7YmBg83N3Zvm17uvjr6+szdswo2nbomCah3LNzO25u7sTExLz3ObW0tPipezdch49IE/+Hvvfp/mM3XgQEvVeW8GyIsXHw8CG0tLVTvdbX15d+vfsgxm56zda2EL+tXkUBa5tUdYuKCKVfn35cuHgpPVFYWeVnzty5VKhUSfG6Pfa9T7t2HYiOjlY8jeJHU1MDI0NDalSvSomSpShoa0vhwoWxtimoPBdpeErT7TyHL5CEJocNILuXCHyuCNy7e4efunYjKDj41SOKhUBbWwuxuIjJVl1dA319XcqXL8vkaTPQ1zdIFQ4/Pz9GDnflhb8/iemEKmwLWeM23p0ixUqmKisqMoKZ3lM5dfoMCQnv99CYmZkyfNRoqlatluaCumPbFpYvW058fNrkSKwP4tk7duxAz979Ul0wBLk7dfIkXhPc031GoUzLli1wcHJ5GSp6V73w0CC6de1GTGzs+xdnoGLFCnhMnIyenl6aX+vDhg7hqs/1dAlNPjNT3D09KVPWLtUQlvAYzZszm0MHDqTr1dLT02Xw4MF89fU3qT6DCB0eP3KQGTNmpksoxSLetm1bevcbkOozCvyfPfXD2dGeoOCwdAgN5MuXj1Vr/kAzDQ/NUz8/Ro0YxtOnz9J9xW2sC+A9cybmFvlT1S0mKpzRI0dy7frNdGWZm+djnLsHpcuUVcjLrZs36NOrN+Hh4YoX6+33R7yLBvr6GBgaULtWTdw8PNDRSd1Tmm7nOXyBJDQ5bADZvUQgLyIgvByxsbHkM7dIM78kIOAF7m7jCAoMxNDISPG+mOUzo3zZEpQsWQrz/NbovXR3i9CCjo5OmouzCC1ERUUn53Gk0wRREqErTc3U8xuEJ0R8zatU8ekuzoJw6eropPkVLhbBuLhYYmIEaUg/70LoldZiIWQJncRzZkSWtraO8pxp5UGInKPIqMgMeXsEVkJWch5N6i0yMiJdj4q4U0NDU7GlWChTa+I5Y6KjlcU1KR3MRMhEyBI/ackSBEnYIL3woRpqih0FaUurCZ3E2BDjLb0mntPAwCBN/AXZEl6RjIxZMc4EqUgrJ0pgFh0VRbzq/V5AobMgMXp6+ootxdiIiY7i0YM7iHCmz/V/CQsLV0Jq4WFhBAUFKSGxiIgIJW2oUcP6zF24EDG28mKThCYvWk3qLBHIAQRU8fGEhYdz5Z+LHD50iMREFaPd3NHT109VG3F9QGCAkmaqo6urLCRaWtqpLgAZTU5ML39GKJJRWYI0pJeqklFZGdEro7plpizRZ0bkZeZzZqasjGKWkefMqF4ZkZWZemWHrJQxIP6boIonOiaG6KhowsJCuHLpMlevXsHX9yHVq1dj8BCnNGeXlDDx+5Lkc2BqetWlJDQ5ib7sWyKQBxAQX63Pnz1l184dHDl8lPv37xMeHoGxkSFTvafSoGHjPBtzzwPwSxUlAlmKgCAp8XGxhIeFK/lYpmZmqfaXHJJ7wulTp6lVuzb5rQqk6YXLUoXfI1wSmpxCXvYrEcjlCAiXeUhwILt37mLL5s3cvnMXlSpBcWkLV3uVypXo07cP1WrUUrYQyyYRkAh8vgjEx8Wxbu0q5s9fTP78+WnduhXftWqFpWX+NBPTsxsNSWiyG3HZn0QglyMgtluL/JhDB/azY9t2Tp3+W9n6q6GujomJMQ0aNqBRo4bUb9QYAwPDDwjx5PIHl+pJBCQCaSIQEhyMi5MD587/8+rDpmqVL2jTrh1ft/wGPX2RUJ6zHzaS0MgBLBGQCLyBgAgveU+ZyKHDJ5SkRpFcqK+vR/16tenbvz+lytilmXAroZQISAQ+TwREiYO7t2+xYP58Tp/+W0mEF78zMNDn65bNGTjInvz5rdJMoM8OVCShyQ6UZR8SgTyEwDWfq9gPGqzsfjAxMaVZ08a069CB0qXLoqWtpWy1lk0iIBH47yEgdpKJZP8HD+6xeeMm9u8/oBTMFPk1ov7Nt9+0pPOPXZV6NjnhrZGE5r83JuUTSwTei4DYUrv2txXs3neQIY4O1KhZG1291HcySSglAhKB/yYCIqfG5+plli5ewslTp5U6TMKb27RpYzw8vTAxNcv2cLQkNP/NsSifWiKQJgLiays2Noaw0FDMRZ2Zl/UsJGQSAYmAROB1BMTGAXFcxOGD+1myZDkvXgRgYZ6PhYsWULZ8xfeegZYVSEpCkxWoSpkSAYmAREAiIBH4DyCQXBBSxd+nTrBw4SIqVarEUNdhytlR2X2EgiQ0/4EBJx9RIvA6Akp129hYJXkvtxbIkhaTCEgE8hYCwlvz9MljZQu3yKHJiSYJTU6gLvuUCOQQAoLMPHn0iPnzZtOoYQOaNP8mzbLyOaSi7FYiIBHIowikVCT+kKrMmfmoktBkJppSlkQgFyMgJpsXz58ywWMCx46dwMamAOPdx1O7bv1sT97LxTBJ1SQCEoE8ioAkNHnUcFJticCHICC2W4YEBeLp6cmRQ0eIi4+nVMnijHUbS/VadT5ElLxWIiARkAh8MAJiDgoLCyUuNg5zC4v3HoT6wcJf3iAJzcciJ++TCOQhBJ48foSLszPXr91QEvhq1qiG2/hxFC5SLEcLYeUhCKWqEgGJwEciIMiMKMrn6e5OfGISXpMmUrx4iUyvVSMJzUcaSN4mEcgLCIgwU3BQIN5TprBz1x7EQZN169Rm5JhRlChZShbJywtGlDpKBPI4AlFRkUyfOpnNm/4iXqXiyy8bMnnKVIxMTAC1THs6SWgyDUopSCKQ+xAQxa9+WbaYJUt/ISYmBhvrAkyaMolqNWqioaGZ+xSWGkkEJAKfHQKJiQncunGNYS4u3Lv/SDmlu2uXjjg4DUXfwDDTnlcSmkyDUgqSCOQuBIR3Zs/O7YwdO14hM8bGxgwb4cp337dGW9SIkE0iIBGQCGQTAmJb94Xz5xg7eix+fn5oaWni6upCx85dMi3sLQlNNhlTdiMRyE4EEhMSePDgPq7Ozty69S9mZmb07NmDbj//jI6O7kepIuLgCQkq5dwW2SQCEoG0EVBDDU0tLbl78C2I4uPjOHHsKBO9JuHn95TixYviMWECX1Spiqbmp3uMs53QJE+GckKUk8Hnh0By7YXMiwd/CkKCeNy6cZ1RI0by8NETnJyG0LFLF/Q+8kwm8d7e+fcmG9ZvQJz1JJtEQCKQOgJiHhC7eLp2+wnL/PklTK8hkFJV+K8tm/HynEhcXBylSpXE3cNdITWfWugzWwmNcDkdObCXJIXQ5I6JX442icCnIiBeUjG2v6hSjQLWNrnmq0zodeniefbv3Uuf/gPJZ27+0Y8qvDMnjx/F1WU4YWFhHy1H3igR+NwREISmaNGizFswT0m8l+1dBCIjI3B1cuTkqb+VXZctW7bAfcIEjIxFkvDHt2wlNIKNDR/qQKOmzRV3nGwSgc8BAUFm/j59hm+++Ya69etnSX2Fj8VJkJr4+Fi0tHQ+iWi9TWjEqbriJ6cqgn4sHvI+iUBWIiB2EYpWpEgRSWjeA7RIEr5/7x5uo0dz+YoPpqYmjHd3o+lXLT5ps0K2Ehph7JlTvHAaNhIdXb2sHFdStkQg2xAQRH3tmjWUKlmS2nXr5ipCk1kgvE1oKlQoT7sf2srk4swCWMrJ8wiI9W3Llr+45nONwoULS0KTAYtu/2srU6dMVfLyOnXqQJ/+/dHX//hdT5LQZAB0eYlE4H0I/BcJzdctv8bD0xNDw4+ffOSokgh8TghER0fj7jaOvXv3UqhQIUloMmBcZe5c/RtWVlY0+rIp+gYGGbgr7Uskofkk+OTNEgGUxLb/moemZcuWTPDyxNDISA4BiYBEABCEZtxYN/bu2SMJzQeMiASVCvVMCl9LQvMBwMtLJQKpIZAbCE3K7kE1NfUsMdLbISdJaLIEZik0DyMgCU3OG08Smpy3gdQgjyOQ04Qm+ZyUm4SHR1C8REmMTUw/efvj2yaRhCaPD1KpfpYjIAlNlkOcbgeS0KQLkbxAIvB+BHKa0ERGhDPBfTxHjx6jUaOGjBw9BlOzfJm6A0kSGvkWSATej4AkNDk/QiShyXkbSA3yOAI5SWjElvE9u7YzwcOTyMho6tatzaw5czHI5GRdSWjy+CCV6mc5ApLQZDnE6XYgCU26EMkLJAK510MTEhKMl4c7u3btRUdHh/4D+9Onb79MKSP++lNLQiPfAomA9NBkyxgQhUoTE4iMiFAqm2t9wLlzuZrQJCUlkpj47jEJaurqqCtl5nOmiQRMMcG/3UTZ5txSaEzo9+6ZO2qoq6tlmY5p9amhkTWJqu+1vrBRUlKqGGS2PjnmoUlK4p+L53F0cCQgMAi7sqWZt2A+1gVtM93GktDkzFwje807CEgPTebY6qnfE/bs2snZs+dwGupEGbvyGRaciwlNIncuHMHF0Y1Qdc1XxcrEAVZdB7nyc9vmGX7IzL0wkTMHdjDWbRIJ2rqvki81DUzpOWw87etXRDMnFvDXHjIhIZZfp4zlt12n3zggTcu6FMvnTKWQpWnmQgKoYmNYOmkkfxy4gLb2yyrQauoYlqrO5oUTs73YXFxUBBPHDOPg31fR0Xl5srSaOhXrN2PqWBd0UnTMBCRyitCIfmd4T2HN7+vQ1NRg+HBXOnXtliVYS0KTCQNFivisEZCEJnPMe+rEMdzGuBEYFESrVt8xzn1Chk8WyL2EJimByyf+YpjjTDo7DaH6F2UV7wJqalgWKIiVhVnmoPfBUhI4vG09XpMX4jhmLMWKFFROpVJT18SyoC0WJoYINXOyqVSRzB3jxKl7kQx1csDE+GXxMy09ShUvkqmLecpzxkVH4D3CngAta37u3hkN4a1CDXVdQ+xKFsl0j0F6+MaEhzDKyYFozYL0H9QFLXXhJVJD39iEooULZaqHL6cITeALf7p1/RHfh48oWrQwi5cswbZI0SzBWhKa9Eac/Pt/HQFJaDJnBDx76seoESM4c+Ys5ezKMnvuHAoVztgakrsJzfG/GOEyD9cZ3jSp/+kncaYF97uhmf9f+W4IKZnQTPFezsxlyylftnjmWDGDUnzOHGHN348Z278TBrqpn4elEJqxTlx6ps6smdMwz/dpB35lRLUUQpNkXYkRI5xeEoiM3Jk110SHBzPGaQja+aswwcsRbQ2NrOmInCusd/zIYZycnJXCfq1bf884dw+0dXSy5DklockSWKXQzwgBSWgyx5gxMdHMmj6D1at/x8jIkAke4/mq5bcZKkXxnyc0YpfIU98HRKkS3rGGmbkF5vnM3vqaz1lCc+yvP5i27y6rp7liZqCb6giShAY+d0ITFxfDvNmz+eWX35RkYA+PcXzbqjXq6llD3CShyZzJWkr5fBGQhCaTbJuUxIVzZxgyZChhoWE0bdqEKd7e6Oqlf/5jric0Qx2mUK9Na0qXEImO6mjpWdC6dVN0tbQIDwlF18gQrde+vhNVcYSGhmNoavrG76Mjw4mITcAy35v5I/Hx0cx1G8390BjeTj+u3/w72rdqidYbOTHJhGa8x2y+79KFAlYWCuGxsrGlUcN6aGlqZpJVUxeTUUIzZ8wQDlx+Tps2rTAwSB4IlarWpLxdKSUclNlNeGimjRjMrRANmjVtjIa6GhqaOjT5qin5zTO3JkpGdBeEZrSTPU9Ctfnm+8ZoqqujqaWrHB5ZxNYmU8MyORFyevzoIa7Ozly54kOVKl/gPWMG1jYFM/W5XsdZEpqMjDp5zX8ZAUloMs/6UVGRDHN25vDhoxQvXoxfVq7E0soq3fkt1xOaIYPciTc0RE9PJOBqUvOH3rj1bacQmj8WL6F2p/YUFUXElEwWiPK7z4IFK+nk4kjhfObJCCclcHLvVrZd8WfKsAFvgCKOMY8IDUMldgW9ZQ89fX30dHXfAjGZ0IwYOQkdU1N0dHUUV1iDr75jhPNg1BKi2TR1MjZtulO/UplPztVISkzk8qn9/Lp+O7HxKgKfPsE3KJoKpYuhralByRoNse/RGR3N/5MU4aGZM3oIa/dfxNjY5GWSqBbO4zxo0bBGuoQm8OlDli6Yy6OASJLeQkXJi1HToteAQVT5ouxL1CGZ0Axi64nrmJgYi1QnjM1tmDt3JgULWKY7EN/3KkSEhzJvmhcPX4Snepm2pjFDx7hQpED+V/2kEJrjF29hYmqkkGFTSxvGurvzRdnin6TP20rkBKG5cP6ccm7Mixcv6N69G4McHDPkkv3YKUcSmo9FTt73X0FAEprMs3RCgoo/1/2Bp+ck9PX1WLV6FWXsyqU7x+V6QjPMaTYOkzypV7OisjBrauuir6utLEjzPCbQdGA/ihkYoKmjp3hHwu5fx919OgOmTKS0tTXxsbGoVPEc2b6W304/Zu0s9zdASUxU8fTRI2LiE94hNKb5zMlnZppqyGni1MVMnDOPMiUKI7aRa2vroKurQ6IqlvM7NmHyRQNKF7NV7lXFxRKfmISuri4JsTHEJSQpRnrVxL77uCjiEjUU4vZ6E1vX71//h4NH/yZWlYDvLR9O3g2i3Vd10dXSpGApO75t3gTt17xIyUnBjpx/ksBELw/MTIwVkfqGBmhpaSkkRMgVL6CWti5amm+GKUKD/Nmz4y8ChNfq3V3zqKtr0fybbylZ3PaVqik5NDH5yuA4pD+aasJDo4muqCPwUr7oMy46EnUtPbS03u/JSlSpiIqORk/fgLiYKLZtWs+LkKhU3xhNTX3admpHfnOzVwQrmdAMAeOyjHYbgJaaOhqaWorbMkWfRFU8MfEq9DPgynzfq5oThCY2NoYnjx9x984dbAsXoaxducybTVKRJAlNlsIrhX8GCEhCk7lGPHXyBEPsHYiNjaVt628Z5zk53fpauZ7QvC8peM648ZT75iuuHdiPloU1P7TriF7kUzzcZyiEppCRNuuX/4pfRDRaqnAuBumydvb4NwhNXOwLnLv+zM2g6LcWbzVade3BoN7dUg05pZUUnKCK59LOjZhWrodBhD/XHvrz7O5NHsWo0ap1K64f2cn159G07dCB8iVsuXv6IM+TDLl97iABSUa079iZIoUKpMlEMxpyel9SsFjIL584wO6jpzHIZ4WxgSnfdvyB/Iap5+RkZJimlxQsPGHXzp3iwOEDaOgV5MeenVD5P+a0zwMafdWE6MD7nL7ynC9rV+DfW7cJfnCdo5fvUL9RM1q0aPzBobz35dAIYhXy/DE7Nm7hSWQ837ZpS/lSxdJl/2nhkBOEJiM2ycxrJKHJTDSlrM8RAUloMteqN29cZ/DAgfj5PSN//vxs3bYFs3wW7+0kTxOaWWNHEWFuTeUSRXh24ywh+iXp9lUVvCfPpf/Esfx7cBs+/mpULleEk/v38G+iFeveIjSq+BgunTlNQMS7hKZEGTtKFiv81kL3/qTguKhIVgzsSIleI8nnd5nlh2/QvEVT/O9fw+dhCE0a1SX86QOexGkzuG9PTswazoFwM5rUr0Xws/s8CganIf0x0E+dXGQGobl36SSzlm/gh3YtObVtK0mWZRjs2B9TQ/2PHpHvIzRJiQk8uXaGpet20bhpE55dOsH1aBOG9GjN2mWL0ShoR+KzfyndsDXlbExYNnc+ZWrUwdhAkzOHj9Nl5DgqFvywsNX7CE1igoqj2zew78J9vm/egPyFi1HMtmC6oThJaI7i6jKcsLAw5GnbH/2qyBs/UwQkoclcw77wf46jgz3//HMFExMTFi1eSJVq1fMqoUnkyom/cHX05rvevahYroQSvhG7OAoWLU7xwgWZ5+5B4/59sctvxbP7t5iz4Bd6dWvPsrlL6Td6EDtXLqV+j9HUKF2QPet+YdXfT94JOX24CRI4sn0DHl7z6OUwhMKFCigi1DS0KFy8NAVMdVk5qPNLQnOFI09h8KA++J4/xOozvrgM7k3s/XMs2LCLPgOGcn3pePxKNaFnp9YE+PkyZdpsxnt6YfoyTPS2fj5njvLnRT+G92qf5rbtBFUU88Y6cfhmMH369MT4JVFR09KnapWK3Dm7n8VbT+Pq0JPj61djVKY27X/49sOheO2O+OhIvEfa80hlQof2rdBQS677oqlnTPXKZTm8dh7HHqrRqfVXJITcZMGa40yYNpUk3ws4O4/GrF5bJroOQBX0lA3rNtK57wDMDbXZvGAiT6p2xqFRhQ8iHDHhoYweak+wypxu3VspScFCHyMzcyqULcXl0weZu3YPjv16ULJMGUwM9T86r0Z6aD5p6MibJQKfBQKS0GSuGUVYfcv6tWzcugMLc3N69OpJ7Tp18yihIYnn92+xdvUfhMQlKgX1RNPQ0KRus5Y0q1+DuePdqde3H19YW/H07hVmz19Fn+4dWDZvOX1GDWTXL8up32sUNUsWZNf6Faw++5Q/Zr0ZcvpwEyRx99pl1q/fRGzS/yvoaejo07BlG2qWLshv9v8nNMeeqzFoYB98zx3i93MPcRaE5u5Z5q/fSe8BTlxfMp7HJZvQp0sbXjy6y8Sps/CcPDVNQvOqZo5aShr0u08gPBAnd2/m4N8+b+QFqRvlZ0Dvnwi6fpJ5q7ZTyLYAOnomtPqhHaWKF/5wKF67IyE+liPbN3H04o3/EwM1NXQti+DUp7NCaA7ejaFz228Uj5eOniGlSpXk0YUDeM1YRL6yNRk+1B5Cn7Nu7Z906T8Qc0NN1s2cQEDVDjh8VZ0PObJAFRvNtj/Xc+nm3Tf0KVSqPN07tUEtIZ57d++w9881aJasTa9O36P3kdWDJaH5pKEjb5YIfBYISEKTuWYUa11kRDjh4REYmxgr5zqJteN9LfeGnDKAzaxxowklH11/asW9Ays4HlMW+xaV8Z46j/4TR3J+01qiTcryVf0qrF0+j8vR5qz9ZELzfsXeDDldIS1Cs2D9TnoNcOLqwtFse27ICNcBPL12gp0+obg5D8Dw9aThDGDxIZec2L6eX/eeoVfXjhgaGmBZwIb8FubKVuusaIJg3f97L4s2HsXecRCayjZ7TSxMdVkweTyWFevz8NLf1P6+E2ULmDJ74mSade9BiXx6LFr+Ow6jxlLEyjK5UnRmtKQkQoMCCY2I4JnPcdb7hDHWoQ9m+h9XlE4SmswwipQhEcjbCEhCk/P2y9OEZv2aNVib6XP01N+ExiQycKgLVmpR/LpyPa0H9EU3OoxfFi0kMkmX0tZmPFQzZeSgHumyvE8xiyomhp0zx2PzTVeMA+9xOUiNNq2/5dmti+y74U+ntt8S73eDzYdO8833P/DPgjEcjzNDTz2J+CQ1OvUcSLmiNh/kjfhQfc/s/ZNfd5+lS5vviXp8jZ1XXuDlPhzTNPJ2PlT+u9cnkRAbzd6//uTEpVvKWVdVajejpGkMB32e0r1Le55dP8vOEzdp2bIR21etxNhMj4dBcZSvWZ9OrVqiraX50SGht/URBOvKqaNs2XeYpER12vboTcXith99BpckNJ8+Qj4XCaLMgvAm55ZDanMLruJrOz4uTtn5mNYhvqLIqbhO/D29L/Hc8lyv6yEJTc5bJU8TmlfhF3GqsqiPIr7glf9PpYn9x9k00SiTmqJLsh7K5PZSr///fxKJcbHs9x7Bs9JN6dYuubSz+HtWT4a7/1jOoWvP6dSmBc8e3ODszQAch/TD3NggS0fk6/ZKCSGm4JPyt+e+d9m4bhOd+vbD3Mwky/AQ/aX0+amYZyehESUIApzoU3kAACAASURBVPyfY6DUZjJQFoisHi/CRnltl5PQNzQ4iCd+TxU7izpEhWwLKcmFWYWXWLDPnz6FmZU1pUuXUt5nSXCSp5TQkGB+XbaERl+1pFKliqkSlhuXz3HmwlU6d+mC3ieWUsjSiSwN4ZLQ5ATqb/aZpwlNzsP3aRokxsdxfd9mwqzKUKda5SybaN/WMjzQn/Mnj3D22j0sipakWeOGFP7E4nefhsT/7w4N8Oef8xep1qAhRgYfv+sqs/TJiJzsJDSPHz5gmIsLCYlJ1KlbD/shQ5TaQlnd8hKhSVCpuHLxLN5Tp/P46TMSk1AW0LIVKjJxkhfmZmZZ4gHwf/qYbl268VPvvnTp0klJYr988Twm5vkpWjRjh+tltR1zSv7DB/fo2bULHt6zqVun1jv4C9K5Zsl8/n3kz4gxozHIwpB7VmEgCU1WIZtxuZLQZByrzL8yKYnEpESSktSyNMT0tuKiDotw7yYmii9X0bdGlkzwHwOY0C3lizqrvqQ/Rq/33ZOdhObqpQsMGuRAcHAIrVp9i4enF1raH5f78yE45BVCo2zJ37+beQsWU7VmXdr90I6iRWw5fnA/i5YsRd3MmhXzZ2FmaqKMs5QQh/CkCIdqRrx1aXn3REXrTX9soG6zphQvUoSAx3cYbD+Udl2607Fje+U9SxnTGfUQvn5wbvJ78X8P7isZL73Pr4dp3r4vxRP69julyHgtTCb+/jouKWNE2P9NbJJezR//f6ZEkgR7TNFR6CuSOJOSuHb5Aj16DGDl2t+xK1PqlayUe0X9rknjx2JqU5T+/foqIeYUz6BSIOylzNw8J0hC8yEzStZcKwlN1uAqpf6HEMhOQnPi6GFcXYcTGhpGtx87M2LMWDQ1pYdGDDexED95cJthQ10pX7Mezk4OSuhCLIKq+Fg2/LaUuYtXs2TFCr74oiKB/s958vQZZcqW5eFtH/wCwilV1g5rq/8foZHaMI6NicHn6hUio6KxsS1MiWJFlctEiOvWv7epUKkSEcEv2LVtG7+sXEPrjp2pX68WFStVwsAgOawbEhyIj881hRSI/kXhsNTIxnO/Jzx/EUCx4kW5deMmZpb5KVGsmHJtVEQY/1y6QrxKhbaWFjVr1VIqqQry8ejBAzS0tTEy0MHn2k3UtXSpWuULdLS1Xz2SIDK3bl7nmX8ARkZGfPHFFwrpCgrw5+69h1SpWlnx/gmP1+1bN9AxMKJokWRPk6jeev2aD0WLFcfMzIwEVRy3/73FM/9ALCwsKGJry+0796j0RXJ46cje3XjNWsLqX5cQ8OwxIWGRlClfAStLC4XwxEZH4eLoSNNvv6dt61ZKH+Kj6/rliwSGRaKro0OVqlWVg1hza5OEJuctIwlNzttAapDHEchOQrNz+3bc3d2JCI+gX/8+OA11Ri2LTth+3Sx5wUMjvvIXTJ/KmSu38PSaQLFiRV8dWyLIzpF9uxjr5s7sBQupVrUqf/y6lH2HT2BiZIBKXZfokADiNXSYMX0aVvktUxmVSdy54cPUSV7YFC2DjY01PlevMdZjHJbm5hzet5vf1vzJpMkT2fnnWtb8uZXwiEhlwS9T6QvGjhlNPmNDNq5dw+79h6hdtw6xUZEcOXqUgfaOfPfdN2/0KYjEqhVLOHbmHEZamtx9+IT2P3Wna4d2SjHQlb+upGipshjp67Jnzx5q1m3IyJHDiQoPwWvsCPTNrXno+0ghFUcPHaF2oyYMdbRXSM2De3eYP3M66OhTqlQprlw8R3h0ElO9J3H/1lWmzVzIzPnzKGZry3O/xwzq15e6jZvj6DRE8SZfPX+MGXOXM2rceIoVsmHJgnmcv3SVKpUrc+HsOXQM9FHXNmDh/FnK9et++4VDx44rRKVw0VI8fnCXuAQ1ps3wxtLCnODAAJwdBtPXfih169bmie8DFsydQ7QqETu7cvhcPk882kydNgVjI3E2WybteMzEuUcSmkwE8zVRUZERBPo/U9Iu81kWQF/f4FUZl7d7lIQma2wgpf6HEMhOQrNl82YmenoRGRnJoEEDsHd0ypbJPS8QmtDApwzu359i5aoyfLgrRoaG//dGJCWyb/tW3CdMZuHSZVSoWA7PsWPYd+g4DkMcadXmO04f2M0U7/nMX74EO7uy7+Aqju9Yv/pXfl+3iYVLl2JTwErxCqV4RdasmM/Ji7eYNHkSxoYGzJ46kZsPnzF92hQMDQwU78els6dYvGgZPQYOpnrVykSGBdOrZ2++/PpbhtgPenUWmVA8LjaWKZ7j2b5zPz379uenn7oo58G9eOqH2+hRVKxeh/79+6BGEucOrmfB7/uZv2ghEYFP6dimA5aFijF3wVxsCxVk9hQvrt95wux50zHQN2DiuDH4h8cwctRIrK0sOXpgDzNmL2TqjBnEhL5g2Ag3RkycQov6tTh74iiD7J348qsWTJkyiaSEOFwH9EJlXJDJnuM5f2QfqzdsxWn4CMrZlcXf7xGTPdzIX8wOt7FjELh5e7qxefshpkybQv36dbnrc57RHlOY7D2DsmVKc//GeUa5TWX8xEkUKWjF3MmePAyKYZr3ZIWA+Vw6w7AxE5k4cxa1KpbPvBIOmThPSUKTiWC+FKV8iBzcz4gRoxRP38QpU2jcuPHLA5ff7U8Smsy3gZT4H0MgOwnN5k2bmOQ1USE0g+0HK0nB2dHyAqG5fukc9gOH0KF7T/r27fXGQXbxcbGsnD+Dleu3sXbDBqwtzRk+1IkEdW0meHkqJ8Qf3rGFGQtXsmDJQqzMDDl48BDBYZFKhekKFStQtUplNqxZxYLFKxjk4ET79m2UPpJDMDEM69uD/HbVcHayR09Hm1HOTlgWLoWD/QC0tbWJi4tlxqQJJGkZ0bPHT5w4cRzf+/fYuWsPw0eNoWXLFm+YUnyZug6xR13XCHeP8Zibm4vAGlvXr2Hpr+vxmjgBv3t3efT8GScO7ueL2g1wchrCxVNHcRo2hpFjxipeH6HjdE937geEM23SBEJfPMTZZSyDnJwx0Nbk8tUr/H36NGHh8cxdOIugp48YOsSZnvYutPq2GQunevDMP4gn0QmsWLSA+7d8GOoyEgcXV+rWrM4oF2esi5Zi+Mhh6OnqEhYSiPuoEVRv1ILOHX8gNiYK+5+7UbnRV/Ts8bMSdhM69OrroFRFr1C+HMunuHPy5mPFA/Ps8X1GjXTDadhwrMyM+OfKVf45f464JE28Z0xTiKr00GTHW587+jh86CCODo4KoZk23ZsmTZumeUilJDS5w2ZSizyMQHYSmj/Xr2PK5KlERUUpZEaQmuxoeYHQnDl+kKFDRzNoyFB+7NbxjUT34AB/Rjg7E44BK5fOIS42hqH2g+nQoy9fNW5AYkICq5cv5OR5H7ynT+PeDR/GjvMgNDxCkdPt5+7079+fp48fMn7UGO48fESNWrVwch6KTYEChAU9o0P7H3EcN57mDeoRFx3GoL59aPVjb9p821L5ogwLCWZAj+5EqtQoUMBKyX3JZ25Bp65dqFSh/Bv5IeLLNPjFU/r16UO3voP4ruXXyiQuiNkktzGcuniFQgULKgu7qKBav1EDvv76a6VQ5ua1q9iwbQ/z5s/DKn9+hQQNcxhIwRLlGDCgH+vnT2Ll1iMUKV4MHaU6thr1GzSgdZs2GBkZEvjMF8fB9jT7rhO1KpfCa9pcnPv8wOR5a1m19jd2bP6T9Zt2sGDxQlBF4+TgyA/dfqZTh/aKh8nvwR1GjBiNy6jRVKpYkSB/X3r2GMScpUspaltI0fnRv//gMsoTrynTKGprTe9u3SlkV4Exo0ZwYMcWZs9dTOGiRRWPVEJCIrXr1KZVm9bK8+RGMiPeQemhyZqZ6OiRozgMHiwJTdbAK6VKBN5EIDsJzYZ1fzB1yjRJaFIZhGdPHmao00h6DRhMj57dXp39JcjYicP7mDVnEeO8PKlUvjwBzx8zfNhoZs2fh5mpGTEx0UwePwYNw3wMG+aKKjaWO7fvEKeKV3bqFCtWTEncFbIiIsI5ceQgy5auoN2P3encvh3XL5xi9ARvlq1YipVlfh7cvoaz8yi8vKdTobydou1zv/v06zmAPg5OfNW0sUIk1NTVlMRbQXheb4Jg+Vw8w6ixnkyeMYOK5cspOQTRUdEMc3SgUs26dPuxi0IghH6C7AgZqvg45s+YzINnoXh5TVC8GREhz+nTqx8/9h3EV182xKFrV1SmVnh7T8RAX1/JRxD3p3ibwkMCcLa3p0jZ8qjCgjCyKsJP7b+i74ARzJwzneVLllCncXNatvyKe7euMcxlBI7DRtG0aSOFcO3aspGVq/9g7sKFSp7RmcN7mLN4Nb+vXa14qkSy77pflrD70Elmzp2NekIcffv257u27fm5ezd+WzKfY2cuMXHKJCzymSn6iWcTOOVWMiMJTdatCseOHsV+kCQ0WYewlCwReA0BSWhyx3Dw872D4+DB2BQvg7OLK4UK2RAVGcXNK+eZPnMOlWs2wHmog1IR+tKJ3azecgDv6TOUhTI8LBSHvr2o1+wbfu7RXdk19HoTHpOw0CASk9QwMTEl0P8pY0eNolqjZvTo0omdm9awZddhFi1Zgq6uDqcPbGPeLxuYPmO6smtKXeweeuFHvx596NyzDz/80FYhKCJUpaamiY6O9huLtUqlYvfG1ew4fJaJE72wsDBP3g0UE80ol6FKfoyDoz36evpKBd7w8EjMLfIRGR7CqKH2FC5TlSGO9mhpaXLu8B7GT5zFzAXzKVWyGGP79cE3MoFZc2cqHg+RfBwVHa3sdBLeqJjoKCaMdOHG/cckqWuxYOF8LM0M6dK+MxUrlSU2UYuRo8coYbp/r1/BZegw+g524OsWzbh04QKTvLzQ1DFg8fIlGBsZ8uvCmew8dJZly5coCdKPfe/jPmYsFWvUZsgQe3zv3mLoUFccXYfTrEljVq9Yyo49h5kyYxpFCxdWvGcREeI8H5NcU14itREvPTRZMw9IQpM1uEqpEoFUEZCEJncMDOGd2LZhDUt+WY2hsalyQm90dBQhwSGUr1Yd5yFDsLQ0JyY6koVTvYjUMGT06JGKJyco8Dk/df2Jwc6utGj+1Tsnu4tFdesfv7F190Fll4XYuh0RFYn7BC+KF7NlzhRPHgVEMmPWDLQ0Nbn092FcR3hgW7goFatUwcF+ECQlMnm8G5eu36KAtbXwz6CuocnwUcMpUvjNwnvx8fFMcx9Jkp45zs5O6AtPiqjYrFKxduVyVq3dgI2trbKdWZAtiwLF8RjvytNH9xnYbyDdBznxQ+tvSEpMYM3Kpew9+jdz5s5Wigr+e/Ucrq5jMLHIr3hwRG31kiVLM2Soo5KAK8bzfG9P1m7cwY89ezF4wAA0NTXo1bUDN24/ZKyHOy2/bqF4dF48e8oIVxf8g0KxsbZWZOU3NyUwOIKZc2YpCcQjney59eAZFhaWGBoZEhwUQCHbIrgMH05BG2tOHdmL58TpTJ4xiypfVOTMsSOM9/Akn6UlJkbGSn0gS8sCuLmPQScbai597GiWhOZjkXv/fZLQZA2uUqpEIMcJzfZtf7FwwUIlXt+zVy9+7tEjW6ySF3JohAcjOiqSK5cucvfBIxITkovBWdsUonqNqhgbGytYibDI2TOnMclnSblydsqOGZGAu2/fAWrWqo21dYF3a8IkJvL0ySNOnfmbmOhYNLW1KF2qDBUqlkeNRM6ePoWali61a9dOrhETGc6xw0cIDAnDtkhRpTquCJv4PX7EubNniYyKUXQxMTXjyyaNlUTZ18MpIixz6vhhTM2tKFeu3BshqZCgQE6fOkVgUIgiQ1dXj4rVq1OqaGHCgl9w9Php6jdsSD4zM2WH0bUrl5S6L7Xr1ElOTo6N5eK5M9y9/1CpWSeOzyhXoQLly5dTDo4Vtva5fIEb/z5QtpbbFrRRPCOH9u8hLDKOJk2+VHJtlFoxqnhuXrvK5avXQU2D8hXKoZYQS2h4HPUa1CU+NopjR46gb2jKs2dPiY6JRVtXl1q1alGooDizTgPfuze5dPUGTZp9pRCs6MhILl44h+/Dx8nF+9Q1KGNnp9TRyc1nPElCkzVTkSQ0WYOrlCoRyHFCE/DCXzmfSCx41tbWyk92tDxBaLIDCNmHRCANBCShyZqhIQlN1uAqpUoEcpzQ5JQJJKHJKeRlv3kFAUlossZSktBkDa5SqkRAEhqX4YSFhdGyZUulfouhkZEcFRIBiYDctp1lY0ASmiyDVgqWCLyLQHYmBecU/tJDk1PIy37zCgLSQ5M1lrp86RKzZ81CXU2d/oMGUq1aNVkpOGugllIlAii7QtauWUOpkiWpXbdumi9bXsZKEpq8bD2pe3YgIAlN1qAs8gVjYkR5g+SaTSn1klLrTVYKzhobSKn/IQQkofkPGVs+qkQgDQQkocm6oSFKE4iWXmFFSWiyzgZS8n8EAUlo/iOGlo8pEXgPApLQ5PzwkIQm520gNcjjCGQnoRHuV/EjzufR0Egud58dTYacsgPlzOtDjBFhs/e55z+1t6TERKXonfhqTu/L+VP7ygv3S0KT81aShCbnbSA1yOMIZCehuXTxAvv371fO7GnQsLFSQC07miQ02YFy5vQhbHXz6mX2HD2Jw8D+St7BpzZBkERRu1fEJSmJRw/ucfuuLzXr1MLQwOBTu0j3fhF2CAkOIjQ0TKmOrDQ1NeVQTysrq2wj92kpKglNuibM8gskoclyiGUHnzsC2UloNm5Yz3Tv6URFRTPIfjADBg7MFnglockWmDOlE3E205H9e5mzYhXrV/+Gnp7uJ8kVlXt/X/kLtRo1oaKoBKymplQgXjnHm13H/mbSVG/KlC75SX1k5GZxjtWKhfPY+NdOcSKncosgWSXL2uExwQMrcd5VDjZJaHIQ/JddS0KT8zaQGuRxBLKT0PxXT9sWX+SCVIn/igX19VCb+F3K71OuEwvd22Xylb8p4brkE6pf/3uKByIpSfSRvFCKfsS/Rfn9ZGeACK0oZ0S+XNQT3/FaKHI0NN4JwQjdU2SkhGpe93ikPEPKqyD+/frfU5495fepPttLfIT8owf2MmvZKv5cswp9fT0Fu5STuUUfr/f3uizxe/EM4llTfh/w4jnOg/rRpnN3vvv++1enXvs/e8Jjv2fY2ZV7ddbU++wkwqQJCcmYKf0LnVKxU1rTgTiDa9HsWdiWKEOLr79GQzMZZyFPeKFy+lgESWhyfiLPA4RGTFb/ByrXxWrFi/m6HcWkl/N2fUeDVy7aDGSKZ5f6r+v0crbPldilh4ckNOkh9Ol/j44M4/ff1xAUFIJNoUJ06NABXV1dZWGMDA/n7zN/U6d+PU4d3sv5KzeoVqc+TRrUR0Mj+UtetIf377Bhw0blxOw69etSt07yFvu42Gh+XbyM1p07cfHsKe76+tGxcyfyW1jw4LYPG7fsRE1NnZ+6d+eGjw/Fy5TGUE+PHTt20LjpV8qZRMr5TRHh/L58BfWat6CcXdlXpCYxIZ79+/ZhY1uUorYF+WvzZgKCw+jQqQMFCxZUdIuNjmTb1s3YFimLsaEG+w4c4tsfOlGycCHl7/f+vcbmv3ahildRo1ZtmjRp/MYCHhcXy7atW7h794GCQ2xYMLOXC0KzWiE027f8iXn+QtSqXVN55vDQELZt3UrlGjUpX67cK4zu3/mXzZs2g5YO37RtRwkbK+ZPncbW3TsoWaY8JUqUoNGXjalTpw53b17h+KnztO/YERMTE0VGaFAA69atJyg4FBNTc3r3+RkdHV2FBYYFP2XDxj382K0TJ48d5Z/LPlSoWZuvGtZTzpBKrwlCs3j2bIrZlefb775T8oNyU5OEJuetkYsJTSK3LxxmpIsnkdq6aGklD3gNDS069HHgx1ZNcxQ9VWwU6yaNY/mh8xgY6isH3IEa+hYFWbZgJsaGWR9TTg+AxIRY/vplNovW7UNLW+eljqBmVpAJ7uOpXDJ5Ms3uJk4AvvfPYYYPm0SkljZami8nM3VNOvYexE9tWmS3Sp/UnyQ0nwTfe28WhOXhvTvMmDoZdPSxNLfgms8VypSvzLhxYxTS4HvvNitXLEeDJJ6HRJEQF4PvYz/mLlhA6ZIllHyjI/v38euq1ZQsUxZVXCz/XLyIvZMLzZs3w+/Bv/Ts60ClMiW5cecuRmYWTJw6iQh/P6ZMm4FNIVsiQkMIjYjCyNiIEaNGYaynw/ixbnTp0YuGDRsoety+fpW+/QYzfe4cqlet8orQJMTHMGXSRGLjE4kIDiBJQ4eosEACwmIYPXYMVatUITIskDHDXUHDiAf3bhEVn8iIse40qleTPX9tYNUfGylWvKRyiOU/589RpUYdBjsMUk4UDw0OYOakyVz0uUG5CuUVvAwMjfANCOWvP9cpIadxw52wLlqavv36Kd6M536PGTViBC1/6ESHNq2UAzuP79/GwmVrKFq8hIJhSFQMrsNcmDzSmSt3HqGnr4+enj69+vSlc+eOnDy0nSUr1jF1xgwKFyrEtUvnmDNnLhExKuzK2XHt0j8Y57NkxOhRFCtahBePbjLQwYN6tcvh+8Rf0cPH5zq9BgyibevvlJO+39cUQjNrFgVLCg9Ni1e5QeLAzexKjn+ffpLQZM08IA5z9ZrgobxPw0eOolbt2nmwsF5SApeP/8XwobMZOMGdejUrvsqm19M3RF9PJ2vQy6DUuOgwFroOZf+9SGbOm4S5afJJvurqmpiaGue4+1PokqCK4vc57mw9fpfJ06Zikc80+enUNTA2MkQ7E5IFMwjXG5clJqi4fnIrDg6zGTZjEjUrp3whqqFvYID+J8b8P0anT7lHEppPQe/990ZHhDFv5nQiEzVxsB+Enq4uW9atYsehk6z+7VflPTt1YAvuE+fSscuPdOzckSf3bjN+nDv9hgjC0oRrF/9m4qRp/NirH82aNCI8LBj3MWMoVbkGg/v35e9jB3EdNZ7mLVryc4/umJvnIyzQH3c3N6o1aMpPP3ZGkPBNa1Zy6PjfzJgzDz1tDTzdxlCpbmO6duqgPMS2DatZ/ecO5sybg+1Lz4vyHsbH4Ok+nqMnz+Ho5ETTJo0JevGcCePGopfPmmneU1BFhzHCxRHfp6GMHDUSOzs7jIyMuHv9EqPHuCvE48fOHdDS1OTk4f3MnDWXPoOH0KbVdxzdvwu38V4MH+tG0y8b8ej+HebMmMmtp0Fs37RBITSjne2xLlaaAQMGKiduP3v8iGGuLnzbvjOd27fj1rVLDHVypXX7jvz4Y1dITOTu3TvkL1iI2PBQhjnZ890PXZQjL4yMjRXycWjPRhYt/4Pps2ZjYqCL1zg3QlSaeLiPJb+5Of5PHzPJy1P5yJs8YRyBfrfp3msIdeo3pn//PsocPmeKBw8DopjmPQ2LdHJgBKFZMGM6F31uYW1j/arQWpsfOlCtauU3vHFZNyLTliwJTdagLo4+cBhsr7zrU72n0aRp0zS9c7nXQ/OS0IxwmYfrDG+a1K+a5SThnRDIa/Z5O9SVQmgO+cayfNV8LPOZ5rpwSQqh2XHalwWLF5HfIl/WjLgPlKoQmhNbcRgyB89l86hbszL/Dwx8oLBccLkkNFlkhKQkLpw5xsSJ0+jSvSeGutr4BwZyYO9uqtVugIPDIMRYmjCkB1iWxtnZCVNTU25e+YexY8bh4uZO9coVmTV1Ihcu38LBcTAvnvvzyPcOh46eYqjrMOrVrcXaX5aybstOZs+dS6mSJZR5ZtPaVaz4fT1Lly2loI2Nkkuzb9smdu4/xuRp09DSUOOPJbN5HJbEyFHDiAgJwr5vf5p8346uXTsq4bCUJgjNBI/xhMepMWG8m7IjKD4uhq1/rGTt5v2sWLkCTbV4RroOJb9tacaMGa1M2CLf5/cVi9i25zAz5symiK2tsoj7P/VjnPB6lK2I81B7fl0wnd837WXDls1YWVoSHxfHvh1/sWDVOjau/T1DhGbXlvUsWLwC71lzKFfOTgkRJb6M9QcHBWDfpwftu/WiTdu2ytexwOPgrj9fEZrwwGe4uXnQz3EoXzdrmhzKExW0Vy5n2W8b2LV7C1FBj+nZx5Gpc+ZRsZydkkOzd9t6Vq3bxvRZMyn0GglMbUSlEJqb9x5iW7gw6hoid0aHLl27YGtbKMe3jktCkzXzwOdxltNrhMbFeypfvkZoMj/5KwlVTDSP/J4RH696xyrGpmZYWlqgoYSVklsKoTn4IJZlv819RWhyU02GFEKz/bQv8xcueEVoclrH1wmNx5K51K1RCXWRbfly10LWvBZZJ1USmqzBVhUfz+qlC1m+eh1FixYVEV0MDAzpN2CAsujq6ekREeLPd9+1Y+TYsTRv3lxZSI/t38W0mXNZvHwFJoYGOA0cgO+zAKwLWJGQmEDhIiVwcXVS8j6SEuOZPtGdB37BzJ47RwnpiOTVmZM8eBYYgbvwMOjpER8fy68LZ+LrH4XHBHfUSOLs8b38tmEXs2ZOZ+/2Taxav43ly5YqcpND0MlN8dB4jCde04Bxo0cq3g3h8Tm8bxfz5i9j6cpf0NFMVAhN0TKVcXV1UUiVeP5Fc6Zz/vK/zJ43EzNTM0VeeHAQHuPcMLa0YcRwJxZMHc+2A2fZvnsnRoZGiF1Oh/ftfpUUnBEPzea1q1i5+g/mLlxIsWLF3jBoYIB/uoTG/9EDvCZ5M22mN2XL2inkQqWKZ9uf65k4dR57D2wnPvw5vfo6MmfJMkoVL64QmoO7t7D81/V4z5pFYdvkfKG0mpIUPGsWtqVeJgW/TL4W27ZT1oTY2BiSEpPQ0tZ+M2E7a4boG1IlockakD8rQuM4yBOrcnZYmJsqiXk6psXxGDcIw9e+gD4ZxqQkIp75Mnfpr0qc/O1WvnodurZvjeZrCYYKoXFxYs2Z61SuWlGZpMRLXLtJazq1aZKhJLdP1jsdAQqhmT2eZZtOYleuPDo6yTHqBk2/pm2rlmhr5UxSnSA0105sYbD9ZApWKIe5mbGCnYFFWUYO642poX5WQ5Op56RfKAAAIABJREFU8iWhyVQ4XwmLi41lnvcUrj94ypxZ3sqOGDFOxAKWkjNx59oleg8YgvfMmdSsUV25d+Pa1WzZtZ9FC+cTGxWCwwAHvu/8E62/+/rlrhiNV1uZRejHaWB/SnxRj9EjnZS8jMREFeNHDkfbwILhI12U/h7eu81IZ2fqNGmBwxB7xYPx7w0fxoydwIQJY5jq5UW1ek0ZOLDvO+7wFA9NZIImnuPdlLCZKj6WTauXsWH7EZb9shxN4t4lNKp4fl0yn90HTypky7ZQcs5bgP8zxo4YQYlylXEaMoAlsyayYcdRNm7doiQyCyJxaPdO5vzyu5IUrBAaFwfy2RRjiIODMg/4PXrAMBcXvu/4oxJy2rl5HQuXrGTmvHmUKV36gwlNyAs/xrlNYJDLML5u1iSZ0MTHsebXFaxYtZEdOzcTGfgwdUKzcj3eszNGaNJKChYeo7vXfdi5Zy/h4RFExcTRvMW3NGpcL9s8N5LQZM088FkRGqfBkyjXqAGFC1qhpq5BQbuqtG/ZEJ238j/EToJDq5aiUboGDetUIyw0BA0tPYwzuDgK964YkMlVWN9sWjo6yqSW4kUQf00hNBsu3KV5yybo6+qgpq5Jg69bUaNCKaL9fZkweyVDRg6nkOmnJwgnxgQwf8ZMrt7zT3XUaGnp0X2oAzVLlXr1dZhCaH7ddpZGX36pfGmKz9zaDZtQt1bVNwjaRw/FhBi2/r6S3UfPk/jSy/K6LPHlVKNuQ/r07Pbq1/8nNFOp3LQRBQtYKmS1aMVafNekDvq6708O/Ghds+hGSWiyBlhVXBwrFs7l8JmLLFq8EFMTE2WxDg0JIZ+5hbJQHdm3g6nT5zF/0SJKliyh1EeZP2Maz4IjcXMbS2x0OE6DBlOpdn2G2A9S8ixioqKIiYvHxNgY37s3GTTQEa8Z06lSqZLyVS9kTHQbw4uwGCZN8iQ0JIgZU705/89FBto70aVLR+WB/R75Yj9wEFY21qCujaeXZ6p5IAqhcR/HoaNnsHd05LtvWvDi6WPGjByNbemKuI8bTVx06DuERngwLp4+ipv7RNp06kK3H7sqCfQHd+9gztxFuIwaTZPGDdi7fTOek2bgMXEiXzZuxL/XLjF92lQeBMWwY/OfCqGZ4j6Gq7cfMmnKJKVey+/LF/Lrmk04DBuuEJpr/5zF0dGVtp260KNHd0hM4NyFcxQtWRZDHS2GDu5L3abf0KdXL9TUxJZyDQ7t/n8Ojb6WBh5uY4hBBw9PD2wKWPHw/l0mT5hA8fJVcXYaTKDfv5lCaIqWFbucvn2DOMbHRjGwRw86/NwLK4t8rPltNc6jx2AjbJNNTRKarAH6syI0w53nMnTqJBrVraJMNqLGg6aGplIPQtRWCHnii465lZJg9vjmFdRNCmBdwIwNG5ZhXLgR39StpKCcEB/N06f+GFsUwFj/7YTiJGJDA9h3+ASR0THvWKVIyTLUqFYFzbdDTi5DOfAghkUrZmJpZoLYsK2prYWGcBdHhXH84i3q1KyMrrYWSQkJBAcFoW1giIGuNqHBwSRoaJPP1PhV7o1Y6AOf+2NsafkOYUuKj+DsmbM8DwwnKZV94Zqa2lSsUY1ClpaviFdKyGnbyQfMnjcHS/Nkl7WmOLH05TZJ0ecLf390DE0xNUrfM+Lv9xRTS4v/JxQnxnPjyiXu3H9C4mv4pIAojnwvWKgwVat+8QahScmhcVswkzrVKyoYaGpqJdeWEE7/BBWh/s9QNzRVEphzc8tOQrN54wZmzZilkO9+AwfQr/+AbIEmJwrriT59Lp5l8qSpGFtYYmpiquRuFC5ajD59eite0d+WzGPr7kMsXraMAlb5iYkMxWPUMIpVqk2vHt2VPJRfFi9g287d2FWopIz7BFU837dtR906tbhw5iRTp89l5W+/YPoypCMA/evPtcyZv5gKFSsREx2FVYF8nDp+jjEenjT5Mrk6c3CAPwP79SMsKg53zwlUrVolVc9sCqG5dvs+JjraGBibEBocCBo6uI4YQYXy5YgIDWCEi9MbISfRh9h9tGr5Mv7asYsixUugq63Nwwf3qd+4Gd1/7oaJiTH+fo+ZMcWLa7cfYVeuLAEv/LEwM+Hq/SdsXrdW2bZ9+ugBPL2mYGKeHxvr/MRFx/D4ySM6/dxbITQxUZGsW7mUDVt3UbRkKdQTVYTFJuLmPg4bCzOWzZ/DwWOnld1LjRo3onmLrzm6b/OrHBoRLjpz7AizZs1F08CIwgVt8L17myLFSzPE2QnrAvnxf3jjE0NOUSyZM5MLV29QwNpGmefU1NWwsi5I5y4dmeU2nKJV6lEovxk+128zdJjLG7lMWf2iSEKTNQh/VoTmfUnBxw/s5vLRIxiXr8YP33/LvdOH0ShYEp2EIJb8thrdfGVp830LChlrcuzIPv658YBCJSvRuX0bTI0N3ijjHfroJqM9phEQGvFGXRmxuNZt9j2D+3Z7N+TkOpS0koJjQwJYs2kfHbq2xefEYXz9Q7hz/TLq5oWoVbYY506fRGVsRd9ePTDVho0bN6KhocMNn8vkL1KC1l1/xMbU6A2v0IcOl/SSgiMCn7Jn3yHu3ruBrlkRmrdojrWxGoeOnKVuk6Y8vHSKSIOC1K9egdNb1xCapMfZs2exsLHl+x86UMxW1N/4UK3Ex9/7k4LjY8M5vmc3PucvYlq+Kp3atUl3S+eHa5F5d2QnofF9cI/r13xQqVSUKWNH6bJ2mfcg75GUE4RGWdDj47lz4yqnzl5UtNPV1aNBw4ZK/RZ1dbj490n8/IOVQmti905sVDhHDx2gSKnylC5dSrknOipKyVd5Fhiq/NvC0krZri0I0aOHD7h+8xZNmzZT7k9pkeEhHDhwkIDAEMpXKM+1M8fZuv+4skW5XNlSSsjpmd9Dhjo60+irlvTs0f1VSPdtGFNCTrHo0OvH9pw7d5HEJA0aN2mMTcGCygdQXEwUx44extjMkho1arwRJomJjub82dP8e+e+UnendOmyVK9RTckhEk3YJiI8jH179hAWEUmpsnYUsSnAhSvX+O6br5UwmkgUvnj2b67fuq2E7ho3+ZJ/b1zHtlgJ7MqUVuRGRUVy8vBhHj17rpwTVrlKNSpUsFM+JKOjIti7aw/BYeGKfuXLl1OSq6/43KRh4y8V75mw1ZNHvhw/doI4lQoDA2O+btlcySkS00REWAB79h6mSfPmmJmaQlKisuVekI+GjRthbGT03rEscoOuXf2Hfy75oEopkKimRj5LS+rUrM4Yx8HYlimPoZEpX7f8FrtyZbJ8I8nrCktCkzVT0X+G0Mya6knrTt3R0tLE0syMndPd0KnWjHp1KvH76sXoF6rPd/UqsOd/7J0FXFdXG8e/dJeIYoEFFnYHdjs3fY3ZU2cHqNioIBKC3TpzbU232Z2YM2fOVhSV7ub/fs5VN91AQWnO+Xzez7uNe098z7n/+7vPec7zbFxLtHFpPm/dmNOHD0CpqnRuUP2ds+xJCXEEBAQpD+K/i6GRCWbCkvLW2/tDp5wiHv9FnxFurPx+Cb8u8OSJypS+3dqxZsUyEg2LMahvVy4e24tBzTa0Ll2AEcOGU635F3Tt2Izf160g0sqecf0/Q/cT/FzeK2hUyRzZspZTz5Lo2bkdj25c5PLdIPr37MC6eV5olKrOwyuX+GrsBOysCrN8RA+KdPiampXLsnPFXPSrt6F/j87/xJBJx1r+kKCJenad6bNX8vXw0RQ0M8K0gLAICavcR6indPTrYy/NSkHzsX381PuyS9B8ar8/5n4lTtK9e5iZF1R+I+JiInGbPgNdk4LMdHPBQF9fCUwnrBbBscmMdxr76qWdyvp8xyl4yiRFOOXUtfwxvHLCPdGRYbhNmUB0shYFCxakeKnSdOvaBSPDrLPuSkGTOSshbwgakrlxZg/OkxbRtFtXyttYvzIxqqljVcYW29JWfLvEh/taVnSsXZ4K5cuyZ64LurVa0q5dE374fjnGJZvRqooV81ymYGpnT107Gx7cucYjHWvGd2v5SY67CbERrJ/hzI7rz+k/qBdGBvrKV4iGti716tUl6eWjvwXNb/O8MK1sz/8+s2e+lwc6ZRvg0KcDJ3dt5HSMJSOaVlDO2X893hX7elU5smUd2849w91tIqb6H5+HJSkxhq2rfNhy6Bo9e/fC2Oi1L4+GDlWrVGTL6oVEG1rTuE4V/B/f597TAIYNH8qjP0/g5DST5v1GM6Z/F9RUKtY6fkUHt0VYmphy+bdVHHqmhePQAei+djROz1IW2wB/ndvNhAmLade3B2VLvjlyqYZVGRtKFNJjw7yFPLOoRJcGdpSvWFExtedQPfPqeOqPP2JTtiz1GryKPpvXSn4SNInxMSye58PxU38olgBh4TAvaMEIB0eqV7FTtrFOHN7P2g3fKsHvKpZ/vyUgKTGOubNnk6RtwPgxjmhrf3qyyLy2vj51PCEBz+ndpx9TZ7hQpqQVq1cswbZWU3p0av+pVaf5filo0owqXRfmEUGjIizgORfOXyA66VX+FlGEM1qpchUpX8aa8JBA/J74seunb6ndbyQBW1ag91rQfLdhCUYlmtK2VmnmuU6icM22tGpYUxFEeiZmFDZ792hluggLM29iAo9vXOHPh/7vHNHU1DWgsX0DEl+8K2jMqjamS4fGzPNyR8emAY6923N850ZORRdiZLNKjBoxkj6O02nZqAa7vl3Ckb9imekyBqNPCDInvjSf3L3JjbuPSHqdj0aMU6WlT63qdmxbu4i4AjZ0bNFIGb4IWFjQ3ISTW7/lt3M3UTcrjvdURzTU1Fjt0JdWMxZhZW7KiQ1zuRJfiJFD+qPzET/Owg8iMvA55/+4THTiq7wxSr/U1ClbriI2JYsTFR6Kn99jDvyykcq9R9PUpvgnbb+ld37Tc70UNOmhlfOvFesz4MULHty/R0houJJqoUiRIpgVKKB8BCUkxHPjzz9BQ1MJgPf2VlVKoxP13bp2DXVtHcqWLZsnBW92z2rQy+c4Dh5CdfsmmJkY8eD+Q3r1H0CFcq+2HbOiSEGTOZT/OH+OWTNnIPwxJ0yaSt369XNhpOA0sDm88zdiVHD6wB46jpjIk60r0a/ZgjZtmrL1u1VcfxLHFx3bEnD1GMdvPKOhfUMS4hOoUrMWpUoUy1Szb8STO3w1yp1l3y5i50IfTCs3onP7Rizw9kK3bH1G9Wz32kJTmGFNKjB82HDMS5ajWaM6HD54gI5fT6BZjbJoZdbXviqZCwd/54fth2jYohna6uoYFiyGXUlzFs9fQsf+X7P/2+XYNP0fnVvbs3xYV4LL1qNaGSt2/foLXwyZSIem9TLmpNS/5jri2UP2Hj2DvoEWl0+fpMnX42hQRvhM5Mzwe1LQpOFhlZdIAplIQFgQn9y/z5Vr14iLT6RW7VpYWZXIUvEoBU3mTLDwIQsIeKG8r03NzJVYUalt2ebcSMFpYHPywG7u+r3AolhJmjasi9/lc2gVsaJkqVL4P7jLidPnsK5QlWo2JTh/6hj3ngZiaGymHGEuWMAkU7/448ND2Hf0LM1aN+XuhfPoFSxK2dLFuXj+nHISq0aF0jx9cJun8bpUMNNixLBhtP2iCwkqNYqXsaF5o9RVaBrQpOkS4Yh45awv1+89QUNbjzr16lNALZhrAWo0qlWZgHvXufk8koZ1arDWoR/Wn3cjKCga8xJlaN6wjnJUPTNKTEQIpw4e5HFIBJbFS9G0SUNlaytnetAgt5wyYxHIOiWBdBP4J5FxdvgoSUGT7gnL8BtytaAR8SKU6NwihbyamuKp/yYKrjDzioiR4iiEcgxY/PvrtNjiSz/TF/zr0OGv4lokv+6XOJGgdFjZphL9FX2KCnjGGEdHBoyZRv3alZXxiJMPmV5e9/FNygexHSd2fxSOon2lfyrlyPl6p0G0mzGXwmZmyradwjCTOviKy6v/KXObiW1lxBCkhSYjKMo6JIHcTUAKmuyfv1wtaLIfX8b0QETUDA4MxNDETIkZkdOKcIIMC3iBoUWhVzGAcloHs7k/WSlohDh+E/xRCL2sckDOT07B2bycZPO5lIAUNNk/cVLQZP8c/J0ILrtzLL0PhbCGCaesHHvUKBvnMSsFzflz59i9e7fiC9aiZQuaNW+eJSOXgiZLMMtGcjEBKWiyf/KkoMn+OZA9yOUEslLQbNm0ER/vOURHRzNy9ChGjByZJfSkoMkSzLKRXExACprsnzwpaLJ/DmQPcjmBrBQ0mzf+jPdsH0XQjHJwYOQoKWhy+fKR3c8jBKSgyf6JlIIm++dA9iCXE5CCJpdPoOy+JJABBKSgyQCIKVQRFxdHaGio8hdTU1MlUXRqRQqazJkDWWs+IiAFTT6abDlUSSAVAlLQZM7SOHv2LDOmTVdOMk+d5kyDhg3zZmC9zMEna5UE0kdACpr08ZJXSwJ5kYAUNJkzq3kk9UHmwJG1SgIZTUAKmowmKuuTBHIfASloMmfOpKDJHK6yVkkgRQJS0MiFIQlIAlLQZM4akIImc7jKWiUBKWicJhIeHk67du1wc5+FoZGRXBWSgCQASEGTOctACprM4SprlQSkoJGCRj4FkkCKBKSgyZyFIQVN5nCVtUoCOULQ+HiLODQxjBw9WsahkWtSEsghBKSgyZyJkIImc7jKWiWBbBc0t25c4+yZsyQmJlC9Zi1q1KyVJbMiIwVnCWbZSC4mIAVN5kyeFDSZw1XWKglku6BRMpCLTORKknm1zM8a/3rEUtDIxS8JvJ+AFDSZs0KkoMkcrrJWSSDbBU12TYEUNNlFXrabWwhIQZM5MyUFTeZwlbVKAlLQvHYKbtO2Da6urhgaGcpVkUEEhPUtKSlZsb5lVlED1DXUlairsmQsASFoXGe4cuDAAYoXL86SZUsoU9YmYxvJh7WdPnWKqZMmo6auxgxXVxrZ26OpqZkiiSxPfTDPyw0Hp0no6Orlw6mRQ86LBEQcmo0//4SNjS31GzRINSx3bh77vy00NjZladqk8XvzquTm8WZH34WgiYyKylRBI8ZloK+HhrpGdgwxT7eZkJDAkaPHuH//PiVKWElBk0GzHRIczM3r1xRBU7asLeYWFqirq+cMQeM505n69RugqamVQcOV1UgC2UsgMTGRS5ev0Kxla2rVrpPqw5a9vfy01v8taD6tNnm3JJB3CQjftpIlS0pBkw1TnKUWmqSkJJ77P0O8AGSRBPIaAQuLQujp62eZo25W8hPWg3NnTuHmOpOIiIisbDrftCW2m0JCwxCsNTQ00NXVQV09Y7aG4uMTEZZEUbepqTFaqZjs8w3sTByoEDQlSpTA3Ws2JUuVysSWZNX/JpClgkY0Lh4o5aSGLJJAHiOQNaeOxPOjPEninFOWiSfxzIaHhfLwwX0S5AdJxq9csd0UHso4p0nExMRiZ1eJocOHoaWVMZbsk8ePsXHjFqXfs2bNpLhViYwfg6xRISAkqK6uHqXLlkVPT19SyUICWS5osnBssilJIM8RiAgLIiTwOarkZEwLFMbEvFCWj1F+kGQO8tDgl7Ru1Z6oqCjs7e1ZtGQxOrq6GdLYlo0/4eExW6lr05YtlCtfLkPqlZWkTEB83MiS9QSkoMl65rJFSeCjCWzbupl5c+crX/HDRgxnyNChH12XvDEnEVAREvSWoGncmEWLF6Gr9+mHJ4QA3brpZ9zdvV4Jmq1bKF++fE4avOyLJJAhBKSgyRCMshJJIGsIbN74M96zReqDaEY5OGRZ6oOsGV1+bkUKmvw8+3LsGUNACpqM4ShrkQSyhIAUNFmCORsakYImG6DLJnMBAWFhFKle1FBDXUPjvadIpaDJBRMquygJvCEgBU1eXQtS0OTVmZXj+jQCjx7cY9eO7Yqgad2uI6XKlM0ZcWg+bVjybklAEpCCJq+uASlo8urMynF9GoETx48zxsFRCWHg5e1N02bNckak4E8blrxbEpAEpKDJq2sg6wTN5q3ilJN0Cs6rKymvjSvH5nLKa6DleCSBrCYgBU1WE8+q9qSgySrSsp3cRUAKmtw1X7K3kkCaCUhBk2ZUuexCKWhy2YTJ7mYRASlosgi0bEYSyGoCUtBkNfGsak8KmqwiLdvJXQSkoMld8yV7KwmkmYAUNGlGlcsulIIml02Y7G4WEZCCJotAy2Ykgawm8PTpUx7ev09iUhLW1tYy+V1WT0CmtScFTaahlRXnagJS0OTq6ZOdlwQkgfxHQAqa/DfncsRpISAFTVooyWskAUlAEsgxBKSgyTFTITuSowhIQZOjpkN2RhKQBCSBDxGQguZDhOTf8ycB35MncRo7TokO7OHlSeMmTdDQ0EgRhkx9kD/XiBy1JCAJ5CgCUtDkqOmQnckxBOLj4wkNDUVNTQ0DfX309PWVf06pSEGTY6ZNdkQSkATyLwEpaPLv3MuRf4hAcnKycokQMqmJGeXvKpHKUhZJQBKQBCSBbCQgBU02wpdN5xECUtDkkYmUw8gfBMT3x5tvkA99reQPInlllFLQ5JWZlOPIPgJS0GQfe9myJJBuAg/u3+PqlSskJSVSsZId5StUTHcd8obMJ6BKTiY5XcZvFaHBAbRt04GoqGjsGzdm0eJF6OrpfXJnhQDeuuln3N29FDG8actmbMuVS1e9QjwLp0xZJIGcTEAKmpw8O7JvksC/CGzdvIl5c+cTHRPN8BEjGTZ8mGSUwwgI0fDw7i1OnjhJYnJS2nqnUhEZGcnadd8jnCAzS9AkJSXRu/eXWFoWTlu/AHU1dcqWLU2d+vZoaeuk+T55oSSQ1QSkoMlq4rI9SeATCMjUB58AL8tuVREfF8c3K1ewadMWoqKiSIuxRqVKJj4+QellZgkaIZa0tbVQV0/52Ou/EQmrTJUqdsx0c6O4lbW00mTZGpINfQwBKWg+hpq8RxLIJgJS0GQT+I9oNiYmiu82bGDVym+IiYlNcw1ieyczBU1aOyL6UbVKJVxmzsS2fEUpZtIKTl6XbQSkoMk29LJhSSD9BKSgST+z7LpDbD3FxERz/OgR5njPwf/5C8WHpXSpknw1YAAFzM1TFglqapgXMMeusl2qAcTSO6anT/24e+cuYsvp30Ucc42Jjub3X3/h1KlzyjV6enp89ll7ho8cgUUhSzQ1NdPbpLxeEsgQAvfu3GHr5o2oocYXXbpgY1suVXEtBU2GIJeVSAJZQ0AKmqzhnJGtxMXGcvzoYebMmceTJ36KOGhQvw7TXFwpUqSoCK7xn+bEVk9GnmITTspJr2N5/LuxyIhw1q9bx3fffk9cXBy6urr06dubwUOGYGBoJC0zGbkYZF3pJnDi+AnGODqirqaGl/dsmjZrlqrAloIm3XjlDZJA9hGQgib72H9Ky7GxMZw7e5aF8xdy69YttLS0qFmrJhMmjKN8xcrvDRb2Ke1+6N7goACWLFzEnr37CQ8Px9BQn8GDB9GtRy9MTEyyrV8f6rf8e/4hIHM55Z+5liPNZwSkoMm9Ey4ccm/fuo6Plw+XLl9RLB/lytkwffp0ylWsiI6ObpYNTmx9BQQEsGLpYn77badimSlQwIx+/XrTo1cfDI2MpZjJstmQDb2PgBQ0cn1IAnmUgBQ0uXtiExMTuXfnLxbMn4+v72nFp8aycCFGjh5Jp85dUMuCWC+izdu3brB44WLOnj1HTEwMpUuXYuKkCdSsXQcDA8PcDVn2Pk8RkIImT02nHIwk8A8BKWhy/2oQQRGfPvHDx8ebE8dPKkEShS/NaIdRtG3XDu1MtNQIh9+HD+7j6e7OH39cJDExgQrlbBk/aRI1atVCW8aZyf0LLI+NQAqaPDahcjiSwBsCUtDkjbUghEVgQACrVizll19+Q1huzExNGfh1f/r064+2TuYEsLv4xznc3WZx994Dpc1aNaszzcWFUqVLo6WlnTfgylHkKQJS0OSp6ZSDkQT+IeB74hjbtv1CfGwc7T/rSLsOn0k8uZRAcnISwUFBbPzxe374cSPh4RGYmxegR4/uih+LecGCGTYyIaAuX7rIwvkLuHz5irLVVb58eaZOm0LVajUy7Hh4hnVYViQJvCYgBY1cCpJAHiUgTsvERMeQrEpGT08ffX39PDrS/DEsISyiIiPZsnkTy5YuIzb21bHpps2aKNF59Q0MP9k5V4iZ37b9wurVaxHxaETU4nbtWjNk2AisrK3R1paWmfyx2nLnKKWgyZ3zJnstCUgC+ZCAEDVCqP7+63bWrV3H48d+SnqC9h3aMmLkaIoXL/FRzsKi3ojwcHb8uo1V36whMDAIIyNDWrZswZixYzG3KCRjzOTD9ZbbhiwFTW6bMdlfSUASyNcEhPhITEjg5IljeHp48eyZvxI8rHmzxjiOc8LKumS6xYcI6Ldq5QolYJ44yaShoUHXbl1wHDMWYxljJl+vt9w0+OPHj+M4ahRqaup4z/GhWfPmMrBebppA2VdJQBLInwREPJjLly4wd85cbly/iYaGOtVrVGf8+AlUtEtbKgQhjsLDwvjxh+/YsP5bIiIiFcvMlz2606//AMzNC6ZbHOXP2ZCjzgkE/J485tCB/airq9HQvgklS5ZCXSPl5KoyUnBOmDHZB0lAEpAEXhMQWbcfPXjI5InjuXb9luLAW6pUSVxdZ1C9Zm003pNXKTk5mef+z1iycAH79h9SAuZZFDTHafw4WrVph46u7if75MiJkgRyKgEpaHLqzMh+SQKSQL4lII5U3797h6VLlnDk6DGSk5IpX96WAQP707b9Z2hqav2HjRAzImDekkVLOHHiJOLfy5QpzTinsdSt3wBdXT0pZvLtisofA5eCJn/MsxylJCAJ5DICwjLz8rk/c7y92X/gkBI3xtTURLG2dPy80zuxasS1jx89wGX6DCVgnhAzlpaFmL9gPlWq1ZBbTLls7mV3P46AFDQfx03eJQlkC4HAwECe+vkpL6wiRYtiaWmZLf2QjWYNATHPL1+84JtVK/l126/ExcdTsKA5/fv3o3uPnko2bHF1TfC3AAAgAElEQVTN3ds3WDB/ASdOngZU2JQty1insdRr0Egey86aqZKt5AACUtDkgEmQXZAE0krgly2bmTd3HtHRMQwfOYKhw4al9VZ5XS4lIARLYGAA3yxfxm+/71TmXk9Pj8GDBtKtRw9u3LjBPJ/Z3Lv/GBUqataozmiH0VSpWh1NLS25zZRL5112O/0EpKBJPzN5hySQbQSyKvWB2MIQL1LhoJqcrFLGK/7bpxZNDY0POrWK48uf3tK7PRUnJN4X2l+MLUG0mwFjfLtldTW194qKtLYrrosMD+f0qWNMnz4LkbnbwMCAYsWKEhwcQlBQEKhBq1YtcRwzBkvLIujqCQdg9VSnTIxXzHFGFjVQxisyiadWRO6qxMSkjGxWqUsccxdH01MrIjJzQkJihrerpqamrBvx/6KI/xfjF/97898yvFFZYYoEpKCRC0MSyEUEskLQiISF+/bs4fatW7x4/pyAoEAS4+NfRSj+hBegeNn06tuXzz7/ItU4ElcuXVRO6ISEhGborNhVqYzrLI8UXzCKr8oLf1ycnQkICMywdsXrrXCRwvjMm4+BoXGK9QYHBeA8aZLS7gfFlEpFXHwcz/xfEBMb9/rFKV6mKPMiXqCFLMwxNTGmoLk5rrNmUbSEdYpjjouNYenCBZw6JbaoMq4YGxsxYeJ4KlapkWKlSYmJHNi7k3VrNyAiGGdUEWOf4DSSWg1bpiimhDA/c/KEkuU8KSnjRJzQMObmZoSGhKGlo4OmljbGxiZUqWJH1+49MDUzy6gh5tt63nxcCQAfEolS0OTbZSIHnhsJZIWgEUd9Z7k4s3PXfsUR9YMv2jSCFF/QDo6O9P2qX6p+Hb4njjN1ijPCVygjS926dVm7YX2qgsbvySMGfDUAf//nGdks1tZW/LTxJ0zNzFOs98Vzf77q0xe/p8/SxllYzt5jRRIvWGGVsbAwZ/36tZQsY5vimGOiI3GePIV9+w9m6HgLFDBl/jxvatdvnGK9wiq05ecf8PaZr6ytjCoiXs8CHzeate2UYowSVXIyB/buZvyEyRkqpET/tbS0FOvemyJeurVr1cB77lwsChXOqCHm23ru3rnDli1blPH/r0sXbGxsUrUASkGTb5eJHHhuJJARguaNQEnNHC6+ok+fOMQMV0+MjQwxNDJGT18PHW1tdHVE3p9XpvX0FmGhadu+A/ZNmqRqobl98yabfv6J8PDw9Fb/3uttbGwZMmJEqoImOCiQlcuWERISkmHtCr4FLQoy2nGMkpMppRIWGsKKpUsICgpOm6B5q5Kk5CQCA4MRVhE9Xd13qjc2NmbY8OFYWBZJcczxcbFs/vknJVFlRhZDI0P69O1NWduKKVYrtptO+x5nx287M1RYCBHRr8+XVKxWG3X1/247iTX/5+WL/PjDjxnarvIoqNSIj48jLiGB+Lh4IiPCqVzZDqeJkxSn7ZSKsKjFxcWio/MqLpDcmkp9FZ48cYJxY8YqIsbDy4umTZukum0tBU1GPs2yLkkgkwl8qqBJTkri+vU/MTI0xLpUmVRf8MKPJSwsVIl3ova3P8Ar/4CPkzMCjPBj0XqvT4n4ak+Ij1d8dzKyaGhqoaOjk2qVb14w4ks+44qaYi0QyR9T8ykR7Qp/GDEv4nRSeopwbXq11aSG8NV5uwgrjQiil1q74gUv2k1K/MeykJ62U7tWrBXhqySscSmVNykeEkS7GeqvpKZwFkEHUxMHYm3Fx8Wlm3NauIi5EGN7sz2ipaWpJI9Njf+Txw9ZvWoFTZo0U2IEiY8GWVImIHM5yZUhCeRRAh8taF77iWzdsoWdO3dTvUY1pru4KsHWZJEEJIGsIyC2p1YtX8K6dd+ir69PvXp1+XrwIGzLVXivU3PW9TBntSQFTc6aD9kbSSDDCHyMoBFm/gvnzzFt2gwCAwIV87hwGp0zxzNVX4cM67CsSBKQBN4hEB0VwaCBg7h9+7ZyBF9kVi9cqBBTp02lTr0GisiR5R8CUtDI1SAJ5FEC6RU0MdFR7N61i3Vr1/L4sZ/iiGltXYJu3boqp40KWxbJo6TksCSBnElAPIMBL59z/OgxfvllG7du3VKOsZsXMKNd+3YM+PprLIsUlX41r6dPCpqcuY5lrySBTyYgBI2Pt4/yZTdy9GhGjhqZYp1iLz8kJJhlixexZ89+wsLClC/B9u3bKhFmbW3Loasnc/t88oTICiSBjyQgfJiePfXjyOHDrF29hpDQUHR1dKlZuyZO452wtS2v+K/l9yIFTX5fAXL8eZbAuTOn2L1zpxICv2Wr1rRo1fo/YxVi5uGD+8yfOw9f31PExsYqAdj69OlJxy/+h6mZaYonQfIsNDkwSSDHElApHye+J46xetU3XL9xS3EkrlixAlOmTsauStUUE5Hm2OFkQsekoMkEqLJKSSAnEBAOhUrMC1WyEsRLnOx4uwgx8+zZU7w9PTl8+Khy6sLKqjjjnMZh36Tp38dEc8JYZB8kAUngFQERZPDxg7v4+Mzj5Elf5SRW2TJlFL+amrXr5uvkolLQyKdEEshgAm8i5L4vpHsGN5nu6oR4CXj5AlcXF06fOqNYZsqWKcVU56nUqF33vceW092YvEESkAQylIAQNU8eP8bby5OTJ08poQuqVq3CgkULKGhhmW9FjRQ0GbrMZGWSADx5dJ/z587R7rPPlfgSObFERUWybvU3rFu3QXH+tSlbGpeZM6lUWZitU44LkhPHIfskCeRXAuLD6bn/M+Z4+3DgwEHFMVhsFy9cvIhy5SvkS0dhEVjPacwYxZ/I3dOTps2apfp7JgPr5dcnR447XQRuXruKs7Mz3bt3p0v3HkqAuJxUxNHsHb9uU0zWwgG4dOmSeHh4UKFSZbT+tS2Vk/ot+yIJSALvEhCi5snjR3h7enD8hLDUqOj3VV/GjHPKl1bWp35+HDtySAkeWa9hI0pYWacar0cKGvk0SQJpIHDj2hWGDhmu/KC4urnSoKF9jjEBC9P0lYsXcXaexsOHj5Q+enq507pt+xzTxzQglpdIApLAawJi++nBvTtMnDCJW7duU6BAAcZPGEfHLzrny+B7QuS9nc08tYUiBY18hCSBNBAQgmbI4OGEhoZSpUol5sybS9FiVjnCBBwZHobbTFd2796nHM12dBhBjz798+XXXBqmUl4iCeQaAvv37GLyZGfFH66ktRVLly+jVJmyOeJ3JydClIImJ86K7FOOI/BG0AQHByv7t3Xr1MRxnBOV7Cpn64+LyE2z6ecfWbp0OZGRUdSvXxcvb28KWlgoWZdlkQQkgdxLIDI8nLVrvuH7738kLi6OTp07MXnKlFSTXubekWZMz6WgyRiOspY8TuBtQSP2tEXm6Dq1a7J42RIMDE2yTNQoyRvFsW1USnyKp08eM8bBgdt/3cXQ0IApzlPo1LmL3GrK4+tRDi9/EBC/NdFRkTiOHo2v72kMDPQZ6zSOXr37ZNlvTm4iLQVNbpot2ddsI/C2oHmT2Fg4BtepU4uZbrMoUqx4lvRt/97drFu7TjFBd//yS0JDQli58hsl63KXLp2YPNUZPX2DLOmLbEQSkAQyn4B4tr//dj0LFywiLi6eZs2a4ObujnlBi8xvPJe1IAVNLpsw2d3sIfBG0ISEhFDepjQBwSEEBYWgqaFB+w5tcZ3lkSU+K1s2bcTHew7R0dF0796V06dPKzmaChcqyPyFC6hWo5b8csueJSJblQQyjcBTv0eMdRzLtWs3KFDAjFnubjRr0SrT2sutFUtBk1tnTvY7Swn84xQcQufOn9Phs8/x8vLizu07GBkb06NHN74ePARjE9NM7dfbySlFksmAgCBETpiePb9k7PgJ6OnpZWr7snJJQBLIegLJyUns3vEbCxcspkaNavTq04eq1Wvmm48XsfX2prw57ZTSLEhBk/VrU7aYCwm8LWi+/LIrEyZN5eTJ43jMcldEhRASQ4cOoXffvujpZ17gvbcFjb19Q8wKmOH/zJ9Ro0dRq0496TuTC9eW7LIkkBYCwpcmLCQIY1NztHW0FR+6973c01JnbrgmMCCAK5cvAmpUrlIVi0KFUh23FDS5YUZlH7OdwNuCpseX3Zgy3UWxjPgeP4qLiyvBwaGYmZkyetRwun7ZK9OC2b0taIaPHMGAgf2Ji43DyMgYHV3dbOckOyAJSAKZREBYKd448GVSEzmx2lO+vkyaMFEJrOfqPgt7e3sZKTgnTpTsU+4h8G9BM3WGi3IsWoiaX7dtxctzNgkJiUoArBku05T97cxIN/C2oBnl4MDIUSNzD0TZU0lAEpAE0klA5nJKJzB5uSTwIQIpCRp1dQ0lLHlwUBAL589lx++7SEhMpGLFCrh7umNbrnyGx4KRguZDMyX/LglIAnmJgBQ0eWk25VhyBIHUBI3onDhWKbJcr165nI2bflH2dytXsWOa81Qq2FXJ0H1uKWhyxHKQnZAEJIEsIiAFTRaBls3kHwLvEzSCgrDUhIWF4u7qwt59r7LkVqhQHm8fbyVUeUYVKWgyiqSsRxKQBHIDASlocsMsyT7mKgIfEjRvLDVPHj3Cw8OdU76nFVHTvHlTps2YgUWhwhkyXiloMgSjrEQSkARyCQEpaHLJRMlu5h4CaRE0b0TNxT/OMd15Oo+f+CGiCTdp0pBpM1wzRNTs2vE7K5avICY2lv79B9D3q365B6LsqSQgCXwygcTEBESAT/+nj9HS1qV8hUoZuq39yR3M4AqkoMlgoLI6SSCtgkaQEvmWrl66gKvrTO7de6CIGpGWwGHsOEw+MfBeTEyMclT85s3rWBUvTsu27TEwNJYTJAlIAvmEQEDASyaMc+L27du0b9eaKdOmo6mlk2dHLwVNnp1aObDsIpAeQSP6KBJInjx+HB9vbx49eoypqQn9vupL3379MTA0/OhhCF+deT4+/PzTTxgaGfLzTz9QpETJPP2F9tGw5I2SQB4k8OLFc8Y6jObSpau0b9sCdy9v9AyM8uBIXw1JCpo8O7VyYNlFIL2CRmTDFonkDh3Yh4e7JyEhoUoOloED+9NvwNcfHaNGCBqPWbP46cefMDIy4vedv1OosKUUNNm1MGS7kkAWEwgNDmLyhPEcO3GKpvb18Z43H2MTszwbdC/LBE1EeDixcbFZPJ2yOUkg6wn8desmE8ZPIjw8DBEpWATWE3FoPlRioqPZuuknlq/4htDQMIoWsWTipAk0a9kKbe30m4lFThc3lxls2rQVY2Njdu3dg7m5uRQ0H5oI+XdJII8QiAwPZeqkiRw4dIzGDergM38BxmZ59zfg5s2brF+3DnU1dXr26old5cpoaKT82/tJqQ+WL13K2TOn88gykcOQBFInEBERwf37DxT/mPQIGmFRiY2JYf3aNaxZs47Y2FiKFSuKwxgH2nfomOqDmVpPkpOSmOkync2bf5GCRi5YSSAfEogMD8N58gT2H8wfgkb8hopYX6KIk6Pq6uqpzvonCZrx48axe9fufLik5JDzIwHxYGloqKdL0AhO4r6Q4CBWrVjOxo1bFP+aokWLsGjJIipUtEtXQkkpaPLjypNjlgT+IZDfBE165v6TBI3TWCFodqGro6N8dWpoftgEn57OyWslgZxGQJg927Vrw6BhI9IlRF6JmmDm+3ix/bddypdG2bKlmTtvDmVtK6R5mFLQpBmVvFASyJMEpKBJfVozRNDY2Nowe7YXZmZmeXIByUFJAm8ICCGir6+PsWn617owmz56+ADv2V6cPnVGGFCxt2/I5KlTKFa8RJryPgm/NTdXF3bu3C23nOSylATyIQEpaDJZ0FSys2PFqpVYWFjkw+UlhywJpIeAisCAAFymT+Pw4WNKjJoKFcqxaMliLIsU+2BFO3//TcnsHRwcLAXNB2nJCySBvEdAChopaPLeqpYjyrUEkpKSuHf3L6ZMnMTt23fQ0NSkRYumzHCdiYmp2XtPLG3ZtBHv2T5ERUVJQZNrV4DsuCTw8QSkoJGC5uNXj7xTEsgEAko04SuXmTp5Ko8ePcLQ0JA+fXoxeOhQ9A1SD7z3di4neWw7EyZGVikJ5HACUtBIQZPDl6jsXn4kEBcXx4H9e5ntOVsJvGdiYsyIkcPp3qMX2traKSKRgiY/rhQ5ZkngHwL5TdBER0Xy/JmfAqBwkWKvI62rpbgkMsQpWPrQyMdNEkg/ASVGTWwsu37fzqJFSwgKCsHIyJCpUyfRtkNHdHR0/1OpFDTp5yzvkATyEoH8JmhO+foycfwEZSve3dODRvb2mRNY782xbSlo8tLjIseSlQSEqImOjmL/3r24zHBF+NdYWhbGwXE0HT77HE0trXe6IwVNVs6ObEsSyHkE8pugybLUB1LQ5LzFLnuU+wgIUSNSKqxavoyNP28mLj5eSWbp4upCi1at3/kakYIm982v7LEkkJEEpKBpkWouPLnllJErTdYlCXwkARGjRhznXjDHmx279iqhvu3sKjJnjg9Wpcr8ffJJCpqPBCxvkwTyCAEpaKSgySNLWQ4jLxMQIuaF/zMWLljA3r37UKmgdu0ajHMaT4VKr1IkSEGTl1eAHJsk8GECUtBIQfPhVZIrr1ARFxNDTFwCRsZGaLwnaVeuHF4+7LTwofH3f8ac2bM5cuSoQqBGjRp4z/GhUGFL3sShiY6OlnFo8uH6kEOWBKSgyWeCJvj5E/xehlLapiyGenp59wlQJXF85xZ+P36ZcVOmUbRACvFLRA6h5w+58+gFyeKT/3URwdwqVq6KgW7Kx4NzLDSVisiwYG7fuUdCYtI/3VTXxLZ8OQqYGOfYrqe1Y0LUPH70gNkenpz0Pa3sF9etWxvnadO4ceMGs71m8/JlgBQ0aQUqr5ME8hABKWjykaARDpYnf1nDN7+dZpq7K+WsrXLcUo6PiWLHlh/QLVaZ9s3rvzcy7Hs7n5zI9nWLWL39BEvXrqe05X/zCyUnJbJ33kgW7buLmoam0pY4wa+nX5BV366goLFRjuPzvg6pkpK46nuAaR7ziEtCcZhVIhJo6zHVxY1GtSrnqvGk1lmxji/8cQ7H0Y6EhoYpoqZFi2aMdRrHwvnz2b17nxQ0eWKm5SAkgfQRkIImPwma5GQO/riE5dtO4uYzm8o2ZdK3WrLg6ojgAOa6TgKrGriMS1/W5ne6l5zItnWLWJOqoFERH/GU4Z17U6PnULp0aIGmhrpShZa2jpJkUUtLMwtGnHFNJCcl8MehnUxyXczS71dTyNgERaKpq2FsZIy29rvHnDOu5ayvSQTeO3zoIPPnzufp06fKfPUf8JWS4HLnzj1S0GT9lMgWJYFsJyAFTX4WNGWsuXX5HPdeRlGtbDFOnDlPaEQsZStVoWGdqtz54ySn/7yPjp4+NeybUal0cTTUIPbFXXafvkX9WnZcPH+eJ8+DMDW3oEHT5lgVKqAs6uTkJIL87nLw2BnCIqOV7MmlK1WlYZ2a6OtooZacyMHft1OodHme37+NX0gk9g0qcmzvCfYfPECyUSGa2zfApkY9WtStRnJCPDcvnOHsn7dITErGxKwgbdq3xczICDXFDKHi6YM7HDl6gsi4BCwKFyHozgV+PXqVpetSsNCoVLy8dYaew6cywXMBLetW+VvQvHkqY4MfsHvfearWq821MyfxD43E1NKadq2aYmKor1yWGB/L9XO+nL12R9m2MjKzoHmzplgWMicmMoyjh/ZTytaWhzdu8SxWja5ffIaRvg7+j26z75Av8YlJFCxiTTmrAty4/4I2rWpyYOs+bOo2okpFW9TV1YgKDWLPnn0UL1+FetXtUv3ReCNoprgt47vfN1O0QIFXFpo8WISVJjEhgV07f8d7tjdhYRHKcW5dXR38/V9IQZMH51wOSRL4EIHYmGh2bP+FGzdvYVOmNJ26dX+dLiVv/hLm6zg0qn9baEoVZdv6pWzYcYyC+vqUqGhH2Iu7/HU3gMZN6vL88TMsS5bmyqkjaBW2Ya63BwVNjXhxcReDXVZhaW6MWbFSlDY35NCxYxiXqo67yxSKFjDixYOruM/0JBI9qteuQ/TLB5w8+yf1O/Zk9MAvMVaLYfzg/gQm6pCopknhosXo/FkTDv++i6PnLoGeCeXL2VK/7Rf0aNeUq8d2M3fZBuzq2VPIWIerZ06hWbQCzlPGUtBQj8jAR8x2dcEvXItadary8Op5bt17RJKeGctS2HISLM7t/Zkp875j3pIl2FoXV4SRyPAstjDU1JK5sPUbZqzdT4USZhgWKYm+RgT7T/zJWGcX2jauS2J0GNvXr+S3Yxep27gpekmR7NixkxbdBjJqUF/8719g8lhnVOq66JqZU9SmEqOHD0IV8QQPNy8wK4FtiUL8ccqXsNhEDC1L4zNrHJ5DBlC+02CG9uuOtpYmN3x3MXnmAgaMd6Fza/sPCprJM5eyesv3FDE1Va7V1NRCU0sT9VfKL0+VmJhofI8fxc3Ng8DAIGVsVlbF+axDe/oNHISRInjz3rjz1CTKwUgCGURApUomIT4ekQ9OQ0MTbR1t1NReWd7zYrl58wYb1q5VTnn26NUbu8qV80+k4JQEzda1i5m1chujJ0zhyy9akRAdgUP/HvjFG+Ll5Um1imXx/f1HZq/bzpIVKyhXqgTPL+yg0wgP6rXvzowxgzDS0WTHhsXM/2434928+aJpDTb7TGON7z0WLJxHhdLWJCfFsX2ZCyv23GLxkoVUsS7AuIHduRpmgOfcuVS0Loq2pgYRIQHMcZmMmlV1pjoORVdXF5IS8Rw/Ak2b+jgM6ouhng43T+9jhPMCXH3m0bhWJU5tWcOcn/Yzw92dKuVKExX6DI+JE7kWEM/yFARNcmI8v69ZgOc3m9DTN1CyOgtF06lbH4YP6YemKo7V3q6s+HkfHXv0Z9yYIcQEPWWswxhqfzmMUd3acevsIZym+9B92AT6d21NXEQwbiN7o2bbAtdJY7h34nuGT11B8RqtmePiSMECppAQw49e49nzEBbPn41FAWMC/zpP/6ETqNDsC2ZMHMnKKQOJK9mYyQ5D0dVUsd59KtsuBrJszSJKFvqvL9CbB/WNhWbcNE/UtHTQ0tRUFrptdXvmek1FV0uD6KhY9Az089Spr/j4eL5dv44Vy1cSExND4UKFmDbDmeYtWyvjl0USkAQkgbxIQBySiI+PU3ZAxIf4KzeJfJLLKTVBM2/nn2xct5QS5sbExUTh4jiSMKtazB43GBN9bW6f3oeD62K8FiykegVbXlzcQdcpq3H28KZd7QrKF3DQtT30GOJK1yHj6PN5MyY7jiaieE0WTXfA1EAX0fZV330MHuvG9HkL6FDblnEDv8Skfk8mDOmNga6Ost4igl/iPWMS6lbVcRk/SnnxxkaHMLznl9To2IfGtauhpalBbMBDxk33ZsgkV7q1a8L6WU6ceZ6MxyxXilgUQJUYz9Y1C9mw83SKTsEJUSEsme7AzktPqd+wITqamqjUNWnZ7nPq1ahIQmQIXs7juRSsy+I5M7EqYsGLx3cZN3Y8XwweS6emddi0eBqbzgYwaewQwgID+evmZQ6dOM/A4Y583qYxW+fOYN2Ra8ycPZv6NSorL9dHNy8ydtwUmvYYwvA+ndHSUCPG/zpf9nGgxUg3hrSrxY6lrux/po6n6xS0ogOY7DSR+l2/pmfHVui+xw/mjaBxmuZNg5bNMdDSRl1Dg/I16vNZq8aQEMCalZvpMXQYBY3yzgk3EaPmtO8Jpk+bgb//c/T09Ph60ECGDh+uWKdkkQQkAUkgrxIQ2+9vyvus0XkuUnBqgmbBvptsXbcMS1MD4qKjcHNyILJUPdwdvsJIW5O75w8xcto83OcvoGZFIWh20nXaBlxn+9C6uo3CMvzpGfr2GEvrvsPp80ULnEaPpECDz3Ed0Q99bU0E9AeXTtJz0DhGey+kR4PyjP/6S4q0Goxjv66K9UCpJ+glPjMmomZdHdfxo9EQPiThj+jXsTd2bb6gsk1pxa9ElZxIWHgktRo1o0JpK5ZNGcXNeH3cXWdgISwh73UKVhHy7D5OQ4aiU74lPm6O6Ou8OqItzJOi/qCnD5jkMJy6/xvEgB7/Q1NDjTtXjzDVeQHjZvlgZ63DmC96o1uzKY3qVCYmMgqDgpbUqGJH8aJF0FTFM33MSALMKuAx2QFLM3FsXMXZg1vwmP8dzl5zqFOlPKrkJK4d2Mz4+T/j/e0GKpkbc3HvBiasOsqShV6EXNzNqt2XmeU2HRvrYu99Jt/2oVm//WeKFXjlz6Sc3lJTU8RqYFAIBSwKKdawxKQkIkOCCE3WwsrClIigACKTNShayBwtDQ0SExMUv6CX/k9BUx/LwhZoar6ap5xShJjxe/SASZMmce3aTWXuOnX6nOEjR1PY0lJuN+WUiZL9kAQkgWwlkM8EzXIsTfX/ETSl6+M+ul+qgqbLlDVMc59N+7qVUFNT8fT0dr6aMIdeIybSvU19JgoLTUE7lnpMxMRAD7G3eenoboZN8sJz8RKaVSmJ08DuaRA06sRERTK89/9oN3gynVo2+vulKkSSsECQnMw3M8dy6mkC3l7uFClkjiopgc2r5vPtrv9aaISw87vxB4NGTaDthLmMblvzPw7Bj64exWGsK4OnuPNZy0aokuI5u9ED7603mbN8BRbJD/nf56PoOcmN3p83VqxGwtQnXqhCPEQGvWD0sKHU6NiboX26oCP6qUrg8K+LWfTNMbwWLaaCjTVhLx4yd9pE/owyZOO3q5TrHl8+zvDRrgya4MCJ7Zuo2L4vvTu3xUDn/daGDzkFx0ZF8d3KNXQfOoirR/aw8/JDTBLCeBH0ggp2NQn3f8Q9/wCadvySrm2bsPentdx8GkpY0HMiwiNp270P7Vo2zjHbOGL+7/51i0kTJnLn7n0leeVnHdoybsJECloUSjWnSbb+qsjGJQFJQBLIBgJS0LxH0Hwx3JMajVrgMHwAZSyNWTPfm+0nrjPDZx71K1mzaZkn63dcwHGmO+0aVCM88ClrF8zF934ECxfOplOtPFQAACAASURBVJS5LmNTEDSRwofGdTIvtYsyx3USiUkqdLU0WeDsgJ9aYcY7OVLcwhQS47j+1wPK2NoqL/rjv6xm/vqdOLrMolHVcty+cIrlS5bxMFLF8jXr3olDI+LPXDmxj3FuS5m/djWVihf+22FWCCR1Nfhj2zdMWbwFt4VLqF+tAvFRgSwcPpjLumVYsdgTtagnjO7Sl8JtejN99AD0dLUJfPGMWDVdrItYEOB3j9EjHOjlOJXPWzZ6taupSsR3/4+4+/zIuFmzaWBryfc/rufb736hYv2WfLPIS7FIhT27xbCvh5Kga4aOUWE8vNywLvZha8MbQTPZbRnrt/30ziknsd0VHRbCHBcvRsycxqlN69lz8QnOLk6E3vZlwZrdOM1wJuaOLz/6PsR92nh+mueOv641w/p35cWVIxy68oQho0dh+Hp7MBueyb+bFGImIOAl7jNdOXbspGJNMjExoWRJawoXKUr79u1p1bp1dnZRti0JSAKSQI4hIAXNewTN/5wWKNsoUZExiqAIeBlA+0HjGDOwO/paGrz0u8P0sWO55BdByWKFiI0MJ16lxUSveTSyK4NOUqRy7b+3nOJjwvlh2VxW/byHItbWVG3dmakDu/Hw8jEcxk0HIwvMjA1QJcbxIlaDBYuXUK20JREBfiz1mM7Ba08xNTYkPCScCsUK8jg8ngWr3xU0SQnxHN7+LTPmfEOR4iXQ1X4dEVhNk76DR9GmWU3WeE5l86UQli3woJxVYSKe3mbAUEesW/Zi7ph+JMRGsWmVB0t+OIRVieJoa2kRHhpM5yGT6Pt5E55ePcTo6Utxnj2f+lVebcuJ8uDaeUaMGkOUmi7m+joYmhiiFfmUEva9mDFuOBrCpyYyiMlDB3P06mPGuc2mR4dm6Gh/OCaOEDQXDu/EafpszC2Loqfzyi9JpaHDMAdHqtmUYK6LFyNnTsd303quPAXnmQ48uXWN1es2MdnTlegbR3FZv4/5Hq5sWeKNZZ32tG5Sm8SXt1nz86/0HjqOAsYG2f6QhoaGMGG8E3+c+4PY2DhKlChG/fr12LVrDzExsYwcPZoRI0e8t5/CavjW9nO2j0l2QBKQBD5M4M0W+oevlFe8TSDvCRqVikc3LnLl7jMa2DfCwsSQ29cucfFhEB3atMRIV4uk+HhOHz9CvHER7GtUQktDndDnjzjke5GGTZpQ2NxMOeXU1Xkdk6ZNxyzkPg9DYyhRuix1atVAX1dX2XJJSkokJDCA40ePEh2fiEqlRq1mLSltWRBtTXXUEmM5vHcnhiWrUKOi7d9bPuIlEx0ZwImDxwiKTsK2Wm1qViiNECEPbl3hj2t3lWzLoo0qDVtQwaoQmhoaCKvLc7+H+J4+T2xiMmXLV6KobjJX7z7BvlUbxTH5TUlOSuLJ3VucOPMHKjX1V34WwoSioUP9Js0pbWnCHyePEpCkR+P6tTHU1SY6OIADR09QrFJ1apUrpTg5R4UGcurIIQKiE1GhhlmxkjRvUBtdHW0CH93m1JW/aNi0OQVN/km7kBgXw8M/fTl5zQ9dbQNKFNJi5ngXek2bQ7//tVK27/zvXcd1mgtFqjVmzMivMTU0TJMviGAX4u/H/iPHSUgSjF6f8NHQwr5JE8z0NJkzw/O1oNnAVSFo3Bx4fPMaa9YLQTOT6BuHmb5uHws8XNm0yAsd2/p0at+M0Fun2HrwAgNHj8H0dQye7Pi5EJaZyIgIvl2/lg3rvyM2Lo6iRS2ZOHECz1+8YMH8RYhcTqMcRjNy1KhUuyjqESEG1NU1lNNtskgCkkBOJ6AiLDSMSpWr0verga/cDf5VlN/2x4+IiAjH0NCQEtYllePbskCeEzRiUoWfgfgsFYtBvMjFAhCOn6+2WtSUvyUlJyP8pt+Ezhcvb/HflB9/VK8EjXAK9ppN8yplFIdfsaUhrn+7iP+elChe9q+KOBr9dywUERgtKUl56Wq8jtD75l7xYk5KevX1rK6h/vcRYyFklP6/qU/0+a1jueLvYjyiPWU8SoC/ZNSVtAZv9UylUsb8dl2v/qqmjEFUmShyIam9+ndxqxiLqFv88U2iy3+P781YFK6CoUqlMP67j6okbl/YR6BRJeqULqqItB+WzmDVrlts2bQB68IWJMT7MfmrUUSXqIbrJEcKFTBV/HLSWpSAc4mJ/7lc9DlSbDmlQ9B87z2D3RfvUKpsGUKf3KZxt6F81b0jOlrZd3JIHMtevXI5P/7wMxGRkRQrVpR58+cqGbe3//IL3rN9FEHTrcsXuLh7pvpjJjh9u3opXXv1l742aV1c8jpJIBsJJCclc+L4Ee7cuc+wESNSfG6jIsJxme7MkaMnaVivJu5ePhibmsmPFvF2U719HiqdE+k0dhy7d+2ikp0dK1atxMLCIp015MzLxYv6xeU99Jn5PVPdPGhRNeelT8iZ5ISaTOD0ju/xXLWZ+IRXgqlwMSv6DRqKfd1qaKrBD4s9+eXYn0ye6U6dyjaK9SmjSnxsDA/vP6JEmVKE+j8jMk5FGdtSREeE4+fnT5lytiRGBvHXkwDKly3F93PdMLWtSQmroiSraVK+YiUlQnJ2BehLSIhn6+ZNLF2yTMnhZGZqwmTnKbRq3RYdHR02b/z5b0Fjbl6AnXv2KH41KR1lFI/292tX0POrwUowRVkkAUkgZxMQH6DHjxzi+o1bqQqa/Jb64Mzp00ydMlX5jXNxdaFho0b5J7BeRixX8SKIiQjk+vWHlLarhLnRqxQAsqSBgEpFXFwsgS9fcPv2LXRMLaloUxJDAwPla0NYpq5fvgAG5pQrY60Exku7bebD7QtLm7BeicUv/lkIKmE9UqxPiiVLnMRKJjlZ/HsSP8zzoGidNjRpUFM5WaZYq7JpeyYhIYE9O39j3twFBAQGYWJizMQJTrRp/xl6+vpKv94WNMbGxuzauwdzc3MpaD68NOQVkkCOJyAFzX+nKF+nPsioFStehso2lfpr/5OMqjif1KNsjSULC436fywwwvfoVSyc7I1wK7bX7t/4E/2CxbAsbJ6t/RGRgPft2c3SJUuVRJRia3D4iGH0HzAQfQODvwWLFDT55AGSw8yXBKSgkYImXy58OehPJ/DGavOOD9CnV5vuGoTwu3r5MmMcHQkMDFa2h/r370v/gV9jbGL6jvVFCpp045U3SAK5hoAUNFLQ5JrFKjsqCfybgBBV9+/8hdtMV87/cUmxEnX64jMcxo5TAuf924olBY1cQ5JA3iUgBY0UNHl3dcuR5WkCQsw8efwQT3cPTp8+q5xIs7evx3QXN4oULZpiBl0paPL0kpCDy+cEpKCRgiafPwJy+LmVQGhICD6zvZRAeWLbqWLFCszy9KRMmbKpevFv27oF79nehIdHIJ2Cc+vMy35LAikTkIJGChr5bEgCuY5AUGAAC+fPY+/e/URFRVOlciWmODtjV7mKEssotfLo4X083GZx4uQpKWhy3aznnw5HR4Tx6MlTSpSxxVAnfwZ9C3n2kNBEDayLF0vzgQMpaKSgyT+/EnKkeYJAfFwsy5ct5fvvfiQ2NlbJ8O3u6UHdeg1SjAz69qBFEMeZLjPYsuWXTBU0iQnxnDx8gAQjSxrVqoKe9qs4NslJ8dw6c4pwHXNqVqugHLvPiOL/10XWfreDdn36UaN8qQw9yp8R/cvIOpITYzmx7XsuPU2i/+CvMDXUy8jqs78uVTKXT+1l/pqdeC2aRzHjt8YnwjrEhPLT+nVoFalIr05t0vyyz/6Bpb0HKlUCm7ym8cTMjjGDe6b5OZGCRgqatK8yeaUkkM0ERITf7dt+YdWKVQQGBipRgB0cHWjTth3ar/NSva+L4qj5TJfpbN6cmYImmdDA43zZYTJR2rr4LFpCvWp2SjRnkYdshcMQHurb4uo+GZM0xGiKjYrgwL692Favj22p4imKlWuHt+OxejudvhpB97b18rSgSYwJ5WePaZwJ12HqtOkUK2SaoatS+GY9f3iH87cf06F187+jfmdoI++pTJUUz571s/nuYizfL56FluZbgTNVyUQ+v8W06e6UbNSZkX06p/llnxX9T05M4OyxgyRYlKaBnS2a6Yhg/k//VCRFvsRx6EiqdhnKV583R/ttBu8ZiBQ0OUDQFC9enL59eymBwGSRBPIyAXHEu1TpMthVqZbuAHzix2rvrt9xd59NWFgY+vr6TJzoROeu3ZWgg2kJ6Jc1giaJoJeH6NZ6IrFaWlRo3J6FHs4Y6WoTHx3GoqFf8dCgHO4+0zEz/ieHV2rzHuD3kFFDB/HZ4PH0/rx1il/kMdFRRMfGo6eni75eHrNY/AuMSLAaExVFfBIYGRv/neMto56bpIQ49m5cw49Hb7B22Tz0dP/J8ZZRbbyvnsToYFZMn0hA8Ya4OH71rqBS0qvEExIaga6+gdK39KQ9ydT+q1TEhgcxctAgyn/Rn1FfdkRP6yOimKtUhDy+xagxkxnk7E7jmnZopDFYpxQ0/53hP86fw2PmTOV3w2nCROo2aJC5kYJFniIRlv1N/p9MXXSyckkgGwmIH98uXTrjNGlqukzliQkJnDh2hNmzffDze4qOthYODqPo8mUPjIzS/iGQlYKmf1cP2rRuzO8HT/D1ZA+6tq5PUmzEfwSN6NPLZ485duQYsUmgqa1D3YaNKGVVlJDnt9n00062b99Gudr2VK9UjlqtOlK1ZOF3rDCRLx6w/dBZajdrQ/kiZkQH+3PokC9ValXn0e3r3PcPIlmvAB1aieSxpko+NpGs9e7VC/hevokaKgoWL0WjBvUwMdDl3tXTPAlOpLA+nL92B3MrGzq0tFfuuXn1Mlf+vE5isgqTAhY0btoYM2MjRVAGPHuM+AF9GRyJChXFStrQsEFd9HW0UCUn8ezBHQ6fPKtEmtY1NqdNq2aYGhko1wY9f8bpo4cJjk1GTUOd2g0aY1uqxH9/fJOTeHjhABf9E2ndpg36mmqcO3EU4yKlSA5+zIXbj0hGgyYtWlGyeOEU03AIK0zQcz98Dx0mNOFVANBajZtRylyP37Zu5cTxAzwIVqNj+9ZUr9eQ2lUqKHna7ly/yoUr10gUUbR1jWnVvDFFC1koeeDCQ4M4fuwEJUsU5c9rN9AvWJR2rZqhgYrH9+9x4dIlomLj0TcwpnHL5liYmCg54RLi47l89iQ37z1GQ0uX0kUtWLdqOU2/nkjPFnXeeU5EpPBHN/7g5N0QOrVuioGWipOHDmNUthL60cH8cekqiSKBbuPmFDZQ4/jRgwSGxlKgcDGat2yGoY6W4kDvu38HFqUrkxj8lEu37qGhY0DL9m0oaGys8BLBOwP9n3LW15fg6HhUmjrUrF2bSjallPkQLA7v+ZWSFStz/9p1nobFUtG6IBcvXmXL1u3Y1WtEFbtK1G3elspWFoiUKrcunOHPuw9JTOY/6yY24gXHDp/EPzgcbV09ShbUZ96ytbjPXUiFsqXS/IslBc1/UcXGxBAY8BI1dXVMTc3eCTT676s/KZfT5IkT2btnb5onS14oCeRWAiLysRAlIpFojy+7MXWGy+tEph8ekXj5HD58iFkz3Xj54qWSYqF3n96MHD0aA4O0ZRl/00pWCprBveYxztOH39bMJRATvL09MNGGxcPetdD4XTvNDBdPitdoRJmihXh4/TzXHkUw0c0FC1UAXu4L+ePaDQoWs6a4ZVH6Ok3EvlKZd75aH53fQ5+pSxjk7M1XTSvjf+MUkye6Ea+pRwGr0tiWMOHXX/dRoXEH5rtNQlstiSsHtzNryQaKl69D+SJ6XLpwgVqd+/N1l3bsWjubn/edQaWuia6eMRWq1mXsyH6c/WU9izYfpE6TplgYaeO7ey8G5Wrh7TYZXS015rtM41F4MtWrVCQxPIBtuw/RY+gY+nRuS2yIH55uM6FwBWyLmBH09Cnte/TBtrQVAfeuMm3ydNSLl6N25Yo8v3OJy3eCcJo5k3p2Nu9a3xKi2b98PN+ci2bB0mVY6KhY4DqF6/f8UekZ0axpXc4dPIR/oh7e8+dQ0arwfxZZfHQQnpOm4K9uRt1q5dEIuY9m+Ra0rWzBzGkenDx7mcKlbShRvAhd+g6gcc2K7NiwhC17ztOiQxvUk+I5uHMHRas1wsfNGW0tdW5c2MvkiT6KUDMyNaZsldqMGT6AOxdP4DxzMbUaNaCUVTHOHjuAf6w+K5fPx0wXNi31ZMvxmzRs0gT1yCfsPXiOeHVtlnyziso2Zd6xwAjxs95jPH/EFGD2tPHoxAYyZswkShU15kFgInYVy3Jw7x5MrCtQ2FAdPfOiqIW+4ODJizjM9KZnh8ZERzxiWJd+aJkVIUnHiJo1KnBi7x7CTcvz/eo5FDTQ5uzB7cybs4qilatTuUJZLvke5fazCNznzaNuZRuiwu4ysHN/NE0sUNPRx8SyOA3Km3PwyBH+vB1A2XK2WFjbMGaMA6UsDNjz0yp+2nWGWvXrY6qvydG9O9Ep14QV7uNJiA5k+sSJ3H4aQYtmDbhx6Sr3Hj/GoIAlS5cuxqrYf+cvtV8NKWg+/Hv6vis+SdCcPuXL48ePPq0H8m5JIBcQeOH/jG83/EBcfFy6BI0QQo/v38F52gyuXPlT+Trs+r8vGDRsOJaWRZSvjvSULBU0veczad5SjKLv4jpzAT0dp9KmYWWWjRj495aTqXYiC1wncSNMF09PN8wM9Ah5+QSfGdPQs2vGjNH9efnkIY7Dh9J+0Fh6dmyNtrb2f6y5QtD0nrKEQdO86f9a0IwdOx7rBp1xGNYfM30tfL+ZyoLD/ixet56CSQE4DuhPwXqdcBk/HF0dbYL8HhCtpou1VQl2rvVi8Q8HGTZpKu2aNkJXR4uXD64zYrgjTbt/zZB+3dFQJXHjzEGmeK3Eeelq7G2K8vjJEwoUMEdXW4uE2Gh8po3jjnZpFriMR+V3Cff5K3Bw9qSEpQXCMq187cdF8N0CNw7dDlcEiIWhHgmRQcyaPB4NW3tcxwxGW+st5+kUBM2c6WO5EqiFy1QnypUsjv/1U/QaOZ2J7j581qw+Gv/y5Xh5fiuOczcz3XsBZYsKC8urnGViNf119gADx3gw3mcBretWQldbm0uHf2Wa13L+N2Akvf7XBm1Nda7sWYPPT2dYunI5hUx0OfPdFMatOMNgh7F069xeyTifGOrHjEnOWNn/j16dWmGgq8XG1QvZvO8My9auB7/zjJ8xn3Z9R9GzUytUsZFs27CUzQcvs3LtGopbvurbmyIc4l2HdcOsdidGDuhN8KMbODqMId7CDvcpDpQrWYjv5jixcsd1eg0ZwZA+XQm4ehInp6m0HDqJkf26EnJpIx0Hz6daszaMHTmUEsUK8esyV5Zt82Xp+p8ophnGxMkzMLJtyKTR/TE3NcLvymEmTnGnce8x/J+98wCvotji+C+56b0nQELvvQhIV0ClSJcmvaeQRhJSSQ+phNC7ig1Q8KECiqIgIIJdeq8hpPd6c8v7dkMQBCRIS2Dn+3w+c3d2Z/4zu/vbM2fOcZ0ygszD6xnmup7Orw3B03kGtWyt0UDFoeVzWfmrisiYKOrXqhjjE/u2s3DJ+0z38qVXl/bISwtZFRfO99fg89WRfPfJGhZv/Y3wiGA6tGxEYeYNotydyTJpzOLFUVibm1b5FpeApspS3fPARwIa4WEtFUmBF0GBk8eP4jjHidzc3CoDjWCZuZ58DR8vL04cP4lSpaLvK70JjYzEwtKqSj4z/9RWsBIJu5y2bv3sCe5yqvChmTUhEb/Fq2jdwIaNCQEcSpERG+LJR76ut4BGN+cynq6u6DTthpvTLHS1NBGcgD/asIKzZeZ8kBROTmoyLrNm8OZsLyYOG3DPpboKoFnKzKC4W0DjLcCIUxjj3+iFTENJ7vGNjJu3leiV6zDOOceYOV54RC9j3GvdxRe0oHdl+XzdQj46kkpidAQON51u/zr4DR4+Qcz0CaJXp3ZiotSsq6cJCIuj4/QQwsf3AaWCorwcsvILUCvkvLc8gSOlNqyPCcK4LI3Y0GCuatXBa9ZEmjVphKGBPsVpVwhxm0WeVUt857mJ8CK0ZePyWE4Um/BuYjgGerp/D+U9gGZRqDdFtbuwwGkC+rq6lGafZ8AbbzPTP5yxw15D+x8Z6XPO78PNOxaTNq/gNnUcjerZi5Y/cTnm8w8IXrmNVRtW09Shtrgcl+A/lwPXYFlSFHWtzcXlvrSjW3GP2kb8suXYGpQTNf5tTps1Ii4+hrq2FuIS25HtGwhe/TkhsbHkXT1DSrKwtLif9oPGMWf063wcF8Inf2Swdu1SGtWxQV1exI53FvLhd9dYsWa5CBO3A01J3mkmD5nOUPdAxrzZnzNHduAftor50fF079QWmbKYlb7T2H1Nj8WJcTRysOP491/iMz+cCQHRTBjWh92JwcTs/IXQuER6dmojOh3v2hBG9IbdLN3wITd++h9LPjtE1JKldGooBKjUoCD5VzxcfWj22nTmzRjBZn933jt+g9ily2nXpJ6Yb05RlkP48OGkN+tLdIQ35saGqEpySAr148eLBXj5OJN64SLnTx/jwK+nGT3DhTdeakKItytW3UcS7DwFHR0tinJS8Zg8Ff2Og4mcPwsTw6r7hElA82hvk0cCmke7tFRbUqDmKHDy+F/MniUATU6VgKYCZq6StHgx3+3ZK2b6frlbV7y8vWncpOlD+d/crtKJY38RGRHJn38efWpA075pHU7/up/AkFj6T5pF4VcfkGLaUnQKVlw7iYebJ8VmdejTq4doSVCr1CjVKqzqNuXt4QPIvnHtPwGNjwA0zuGMf6Mnmhoq8k99yBjXj4lcuhqjnHOMnxtI8Mr1DHm53R27UQTtBaDZ9HsWi2MiqG1mKGw455c923HzCqXb64No4FBblFVIQqtQqmjeZwivta7FN59tYdeeg5SqQKVWcvXieWTN+4hAU8dEixO/HeGLTzdx4nI6dg6NcfKYi5VGMfNnTCdN35p+fV8Rv+qFIsCnZb1mjBnyumhBulXuATSJoT4U1ulCsOME8djSnIsMfH0sU7yDmTBq0J07hYDyshL2797O+5u/IK9QzsDRE5g4Zgh6MjWbly1k26/XWbMsHmsLU1TyNFwmzqJWt2H4OE9GX2iLWsnPHy1i+ffnWZqUiCrrAm9Pc6fn2074zxwtWtAU8nzWhPmx47crvP56/5tLRxq07PAS3Tp3RKMwEz8vLzTavc7CuZMx0tOhKCOZhPluXDduweL4EAx0df72lVKrSfnxI8Z6ryIoYQmvdm7Nd2uDeO/HNOITE3CobUtJ5kU8J83GqOcoInxmoS9T882nGwlb+hGxa9+la0MLQrzdOV9mworEKKxNDEFdzvoQDz48dJV331/DtsVRnCnWJzEuAhMjA2GUuXRoBz4LohnkEsK4V9vj5eJMiXVLVsUH3wpJkHftFCPHzqT/zHl4TByGvo4WWReP4evhTbrMlld7dRDnt5aeIZ26dadjy6YkX/gT12lOOEYkMvDVnqJGaRePM22mG297L2DsgD7o/ANG/+2pJwHNo70TJKB5NP2k2i+IAg8LNDeuJxMRHi6mNBAyaffu3QNff38cHOr9a+C8B8m57dNPxEjBBQWFTw1oOrWoR3lJLuvjQtj160XqyvOQNe4hAo1ewTXmu7tDg65EBvuhe9uuEE1NGdo62mQmXxaBZtAsLyYPr7qF5p5AM/djIpetxkqewugpc5kWEses4f3RlmmiViooV6rE5J4C0Gz+I1u00NQ2q3ipnTi8j7ke83FaEM3Qfj3/llpDQ3yB5588iJtvOH2mezPmjZ5ooWRZVCB7c8xEoHGwMECIAyQsm1w7e5wlixKo22M4c0f1YeG8OaSbNSMhOkJcrqosmjKZuINNcFR9KKDJvcjA1yqA5u1Rg+7c9qsWXJDVKBQK8rPS+TApjP/9dIE1H2ymobUOcf4upGg1JDo0ABNDXVR5x5k00Z0uI5xwnDwSXW0tCrOSCffxRtbgJRb4uHHu52+YH7EUn/AY+nfrKDZVXpROlM9cklW1WBwfdWvZTCbTEpfaspLP4u0xj85jpjF79Ei0NdT8vm8n/mHx9J3sjvfUkXfs4BIsPh/Gh7DuuxOsWLWcJrb6BM+ZQa59V6IDXLE0NeTKz98yO2gRk/yjmfBqB5Rlpby/Ip5PDpzjg/dXoVtehJfLHKzav0bYvNloa2mSm3Keea5e1BkwA/+3exLp40WBgQOxkQsw1NelvLSIj1Yk8MGev4hdkoSDnhw3F2e6DJuG54xxt8bmzM/fMWteOAtiF9G3eyfRx+vS0UN4egZR/5XxRM6bIPZHsPgI/Rf+/+nfvmTm9BCiVq2jZ7dOqOTFfL0+iritv7JoSRKd27V6qBAEEtA86An4779LQPNo+km1XxAFHgZoigry8fHy5qefDlMml2NoaMDq1Stp36nzfbcbVlXGp5PL6c4lp04t66OJmtSTPzHB0Ye8rBxe6j2UmPgFooPkxrhA/nfkKglrVtPQuiKmiuDroym++DTJTLmCy+wZdBw4EfeZ40Xg+OeOyHstOd0faNbQ1EaXhVNHctm2M2uSojEy0OPYvl2ck5sw/I1eolPwnUAD2VfPMGXaLGybdSVuURQmInypReuZsGyR+tMu5gYsZKh/AmP7dkFZUsDciWO4bteZdTGB6OddoVCuQ93GDSjJvsHCBf7otX4d35kj2bk+gbU7fyds9To62VuKL0nhvBqaFS++O0pVLDT/AjR56efJKdbG3sEeIabN2pD5bP31Eh9u/R9WmsX4z5qAZut+hMz3wERfDw1VMfOmTaHQsiWxEb6YGujx+brFLPvwC7xCoxnUvyc/bPuA+PWbiVm6krZN64vNLS/LY3WwF3uTVby/djn64rKZWthgJi5v5aVcwneeFwXN+rHabxYpRw+wIDyWS5lywuLjGNiryx3LTUKMl2j/efyRJWPZ4iiMSrOZMW02ncbPEbdIG+rI2PvpGhZv2isCj4OtFWXFPEP8LQAAIABJREFUhSyPCuGMwoLlkfMpyEzDadpklNbNWJoQiaWpPrveSeKD746xZMUS7G3MWR08n29OZ7Bi5RLsLM1IPn+KQD8/mvcaipfLVNIvnWGukzNT/KIZ9XqPW2088tU2vKOXszAxie4dWolO/+nn/sTXwwedxi8RFx0ihi4QrHpoaKKlpcGFEweYPdENl4WLGdy3G/u2byI+aS0yC3uWLk+iWQP7qt7a4nES0DyUXHcdLAHNo+kn1X5BFKgq0JQUF/POO+vZ+O77FBUVIsRo8vf3pVvP3mJog0ctTwtocjIOMM95Na4RcbRv6nBze24xO9clsnzzbtp3H8SCIHcxsF7GlVMsX76ci+ml1LG1El/kBfn59Bs7nZGvdqGsKI/YYD9+v5RFk7q16Drehbe6Nrtj98u1P/bgHLWBCZ7BjOvRgrQzPxMWEU3faT6MfLUbmhpK8s9uZVbAZwREJ9Cing3nf9lD9JJ3KDWwpr6JjOsZubzt5MmAnp345qMlbD+WS3iQH3amFT4MivIyLh7+mrjVHyMzscLMyBBleSmZCj1WxYehoyxgSWw0h8+lieHqSwtyUBQXkWvbirhAdwpP/8iq1ZvQt7WltKiQzNx83P0W0KlFIwoyLrNs6WL+upBFPQd70WKUnZlB//GzGNnvZbRud/4uL2Hfe6F88HsJ4dExWOmoWZUQRpFdB7ymviVaeMryLjNu9GzGuXgzcnC/O5acjn33P5Z/9AXGFlaoyorJKyxlyFQXBvdoB/JCVkX6sefYDZo1a8jISc50bdOAHRtXsuHTr7F1qIepkT6pKSn0G/wWI4a9gameJlvXJ7L94FmiE5NwsLW4CaUKzv2ym+DotVjXa4ChsHykLKN+yw5MnfQ22hoKPl+XxMYd+7Fv2AiFvJyGDRtw/OwF5vsH0bpJfXE7eGUpl5cS7usOdToQ4DqN3OQLePmHMtl1Hq/17IpMQ83WlQnsOZFCdHSkGOOoODeVRWEBGLR8Dfepb3Hj3B9Mm+VBrUaN0NPVx9RYj6tXUhg9dTZDXn9FdP4+cehrYuPXoDC0xL6WOYWpV3Bo24upU97G1sqcs38cxH9BDH7xK+jSquEtC8rFPw7g6ReJpX1d6tW3Z9oMR2qZ6fHZxtVs2XWAuo2aVDiLlxTSrtcAJo8ZQm76dRaFBnAyS0lDezvK1Zo0rSfj5CVNAoN9qWVRdYdgCWju/XQULNz5eXkIA2VibPKvAUgloHnUN4xU/4VQoCpAI3xd7fryc+LjF5GVlY2RkQH+Af68MXAwenp6/8kJ+J/iPh2gUSMvzeHc2WQcGjXB2KCi7YJvSmFeNhcuXMLIshb17O3EF60Q2yUvJ5PLV66jvOmYa2xqhr19HQyEoG5qNXm5qVy8cB21pgyHJs2wMjEUd+RUlqLcTM5dTcXOvh52FsaUFuZw5cpVTG3rinFnNDTUyAvTOXMxnfqNm2EofCkr5SRfu0JGdr54DRMzSxwc6qCnq0vmjStkFSuoX68+epXLYGphmUZO5o1krqVli30SdpmZW9eibm0bETryMlK5lJyCUqVG19AIEy0NCtChYT0HNBWlXL1ymbyiUrGusYU19erUQkdYYlKpyM/N5PzFq1S6Jhsam+Dg4IChYCW5/c2uUpCVconUAiWNGjdBW0NF8pXLKHQMqV/bTrRqKcuLOX7sNHZ162NtYX4H/JUIeZKuXKGwVI5ADBZWttjXtkVbSxu1WknWjWQuX09DpqVN4xYtMdbTpbS4kCuXLlBYIhclN7e0onat2ujp6aChUpBy7RLZReU0adr8tmVDNcpyOdevXScjKxu1BmiooU79BthYVrSpKDeHi5evUFauxNzSGhMjXbKzc7GvV1/s9+1FAN0LZ06ha2qJvZ2N6Dx+4fJVHOrWx8zUWPRzSr50iSK5igYNG4hLXMJOsysXz6FnUZtaVmacOrgbzwWrSVgfj6qwGJVajZ6RKQ3r1xXHXZBZAKcbyddIz8oVLy9E4HaoW08M/CpYGgtzszl/6SqNW7TGSP9v36ZyeTHnj5+mSKlEz8CYRo0aoq+nRUlhIcmXLpBXqhD11tHVx6F+/QqnYaWC/IzrXLyeIVptrGxs0VMVkC/Xo269Ouho/738WJUHpWShuVulP//4g8SEePEecnV3p2PHTvdNESMBTVVmmXTMC6/Ag4BGoSjnqx1fsnhxEmlpGVhYmOHs7MSQYcMxNLpzp8ejiPl0gEbgAxVKpUp8cNzu/yFAjfDQFUBAU0PwJ6jojWCGF3ZxVe40ErYQC34GlUWsp6h4IfzznMIxwstOCFYnbj0WHYtV4stKOL5yearyGsJ5KwFB2NUj1BPOL/xdqF9xPqW4NCL8950RmNW3HIEr2lbhD1EZrbay38L5xHPdbIOw/CAut9zsp1BPiEl0+9KZUEfwa6ksFX355/VFtcT+iu0TNRKCBFbsGBWuI2haqbPw3/+MpCv8VtnvSii7vR3CucUxuunrUdl/IdicoJVQRA2FtonNudke4frC3/8xQSvPV/lnIXlq5ZwQ26JUimN1e9vv3e+KJZXKLea35thtfRTOJbSwsn5lXzU0NBEiLH+9aT2bjheyJtRN9AWq1EzQ6PZxFtskaHzzXLe3p/K6t8+jm7MYpaKiL8L1BLAUzynMXXF+VoyRoJtY99bkrnAsr5yDwvG39+Fh7veqAE1pcTGfbv6YY8dP0LxZY8ZNmIyBkQCEz2c5sH8/7q5u4n0QExvLK337in5p9yoS0Dyfc0Dq1WNW4N+ARtjN8uOBH4iIiCI1NQ19fX3mzXNl+Mgx6OnrPxbLTGV3bgeaDh06sGbdWoyM7w1MwgP2gw2rGD9llui3IhVJgZqsgLw0n82r4lA7dGb8sMF3xvapyR27re1VARoByMrK5JSXl4svdmEpuxLknxMZ7ujG/h9+YK6zi9jHuIR4+vbrJwHN8zjQUp+engL3AxoBGo4f/Qtvb2+uJ6eIN93kyROZ5eiIiYnpY4UZobe3A42TsxPOc+fe9+aWgObpzQ/pSk9eAcFCk5V+A009E8yF5aOHDEr55Fv46FeoCtA8+lVq1hkkoKlZ4yW1tgYocC+gEZYdsrOzCJzvzcFDR0QzdK8e3QgJj8DS2uaRdzTdS5bbgWaumxsuc13uq54ENDVgYklNlBR4SAvNiyaYBDQv2ohL/X3iCvwTaPyCgjl79gxLEhM5cuRnFAolw4YNYbajIw4Ode/rtPaoDZWA5lEVlOpLClRfBSQLzd1jIwFN9Z2vUstqqAK3A83YMW8xx9mFyPBwvv9+n2j67tatK36BgdSrV6/KSSv/ixQS0PwX1aQ6kgI1QwEJaCSgEXcJiJvUpSIp8IQUuB1oXn2ll5hg8bvv94tRgFs0b0bconjq12/4SFGAq9L0y5cucfrUKcoVCpo0bUrz5s2lJaeqCCcdIylQAxSQgOYFBhrBR6CosJBLFy/QsnWbJ+KzUAPuAamJT0GBSqDJyckR444IW24FmLGxscbPbz6vDxxc7ZwUJR+apzAxpEtICjxGBSSgeYGBprSkmLWrV6JQIu72EIKXSUVS4EkoUAk02dnZYrwJIT6FADM+833o268/+gZCvqDqVSSgqV7jIbVGUuBBClQFaIRYSIUFeZSVlaCjo4uRsdkT89l7UHufxu8vhA+NEPtj7ZrVvLP+Hd4cOhRffz8x/odUJAWehAL/BBpLSwu8vecxeMgwtLS1H/v27Pv1QYCUq5cvkpWRLvrqtOnQ6b6WSQlonsRMkM4pKfDkFKgK0BQXFRIVHsrBHw/T9aX2LAiLRIjM/byWI0eOEBIUJFrA/QIC6N6jx/MVh6a8XM43X+1kUUISaenpvDV6NH4B/hLQPK8zuhr063agMTE2IiCwIqWB7lO2CgoRYhfFxrDjyx0YGBqyZes2jE1M7glUEtBUg4kjNUFS4CEUqArQFObnEeg3n2+/+4He3bsQm5gopv24MyL2Q1y0mh8q5MRLvnZVjExubWsrxve6XwyiGhcpWAg/vX/f90RGRJKami6Gox49ZowENNV8Utb05lUCTWFhAXMc5zB5yhQMDI2e+kNECOkeFhLM1q3bMDEx4ctdu7C0vPfDTAKamj7rnl77S3Iz+eb7/ZQrlRV7LISioUH9lu3o1LLxU5/nT6/n1etKVQcaH77ZUwE0cYmLMTF/foGmIv2FqiL32s1/7jdqNQpohME+deIYvvP9uHjx0s17TkMCmup1Tz6XrRGAZq6LK126dGaetw82tnbPpJ8VQLOATz6pAJqdX38lAc0zGYnn66KnDn3DLI8AjK1sMTOuyAsk5Gzq+sYI5owf+tBJFp8vdZ5ebySgeTStawzQCKb2w4cOERUZxdWr18QkZ5XOmZKF5tEmgVT7wQqcO32SHV9+yduTJmFtY/fMdjQJvmMVFprPJKB58LA91SOEZ5SQ0FOEAZnWbQkv//7CFH4ToFRMunlbkk3h7xUJKSsSSFYm97w9saSQMFE4RnAK1dCUickTb08KKibD1NAQM54L51arlGI4i9vN88JzUyj/TB558tBu3AOicfQPYnDvHrcsNEKySm0tLclC85RmkgQ0jyZ0jQGa68nJeLq7cuLEabHHdevWIiUlnfJyhWShebQ5INWuggJyeZmYEVnwmXmWa9U/H/6RiPBIzp+/KAFNFcbtaRwiJAssLSriyA/fsfqdD1GoVMwNi6N7i/piAsWCrFRWJC2mz5BxGBSksGztBvTrNCEwKBA7CxOxiUIm8oK8PNYGe/DzjSJM7OqyaGEYZqYmYrbn7RuXkWXSmK6qk0R8+huTHOcy+JVuZF09R1x8IpfTcun55ijaGhez/3IJgR7T2LZmMck6jfCYPvpWVvAvPlzHZ0dLWBnhiIGuzi15BKDxCIxh7oIwhvbt/TRkk65xDwUkoHm0aVEjgCY9LZWEuDi+/vobFAoFbdu1wd/PCw8PH9LSMiSgebQ5INWuggLCl7FQniXMCNff9ukWYmPiKCgolICmCuP2pA8R5sWNiydIioojQ9OQEUMHcv63/Wz79mcCoqIZ+Ep3rp35g0Bvf2T65hjb2tLQwZKvduyh69CphHpNQ1OtZP+uz1i+5kPavPwyndu34cddn3JNZUXMwjBsjSHKZx5X03JQynRAz5iJU2dgK8snInYRtg1a8UrPbnz7xadcS0mjff9RhM6bxRfrEvnqXDHxCxdgpq9NeUk20f4BNBw0kTF9u6OjJbsDaNz8FzLZ1ZPXe74s/l1LSxsLC/NnZo180mNXHc9fdaCZzzd79r0QPjQPM07VHGjU5Ofns3LZUj799DNKS0uxs7MlYVEcDRvUZdSocaSkpEpA8zAjLh1boxW4PfWB5EPz7IdSIS/mkzUx7PwljcAFfjSwtyPjj12MconEJSiSCcMHcObwbpznhdFj4HCcZk3FUFZC7CxHMuu8xNJlEcjkhYR5e2LVpg/Txg1FX1eb7z97l6TPjrBieRL1dXNwmeVIgU5dFoT5U8++NloaKlbHhPBHmiZhofOpZW7M1RO/EhAUwSsTnHEc/yaHvtxIzJbDrF2+iNoWRpw79CVRy7YQlpBAffs6wqrXHUAzxyMQQwtrLExNxcDrdeo3wy/AGwsTYykO+1OaahLQPJrQ1RpoCvPzWb40iW2ffU5RURHNmzchOCSElq3aUFaSx4gRYySgebTxl2rXMAUkoKlOA6Ym88xhps72xqFjH7q1acip02e5cfk8erVb4D3PRQScbzevJWnTHiKjIujYuhnF6Rdwnj4Xs95jSfSZTNp3q3Fcsps3x45HkXWVy1dvcCUllSGjJzHqzde48dd3ePonMM03hEF9e6CrrUXO6b14hK5m+vwQerVvIfrrXDrxG75+AcwISaJ/h6bc+HMfk+cnkrhqJa3qW7LEz5Ub+g1Y4DsPMxOjO4QUlpycvUPpP+ItOrZoLvr4mFpY0emlDuhpa1cn0Z/rtkhAc/fwCku6lb5fMk0ZGpqa950D1RZoiouL2LB2DRs3fkhJcTF2tewIjwinS9eXRe/7ovxMCWie61tb6ty9FJCApvrMC8Hp9qdta/Ff+gkDhgwWLRmoVbTu2IXWLZpiaGCATBPeT4rkl0ITgt3nYGNqwKVf9+EWFMtE7wWM7NmKNbOmsb9Mj379XkFDrQINLbq/9hqNatuhq6PNga3rSPpkH7FJS2hib4MGSg69k8S6vceITUrCxtJMdAD+efc2Fi7fTOK7G2hobUZJ+mlGjnbCPWoRDdTJuIckMdkzkNEDXxF9e24vAtAIS05O/kEM6tNT/EkI3CjkLNPQUFOSn8fFixdBx4D6DephKAUxfSITUQKau2U9ffIEG9evEX+YMHU6LVu3rVlxaARP/y+2f0Z8XCK5ubkIgcy8vDwZOnIUurp6oqd/YV6GBDRP5JaSTlqdFZCApvqMjlJRzs5341j95VFWrFyMraW5uDSjpa2D9k3/FJW8gGh/D2xeepMpY4ahI9Pk0M5NRK/exMJFSTStZYTb2IlYdO7LAl+3Wz5aOrq6oiOv8KzbEOPD/isqlsSHY25sBOoyNsVEsOfEDRJXLsHUxIjSogLi/Nw4UWrKhiXRGBnoU1qSx9y3htN7qgvXfvyay9gRusCb2pZmdy0h/ZtTcGlRPh8vjSFL2xpdRR49Bo+mQ6uWt3ZxVZ8RqfktkYDm7jE8sH8/nm7uaGhqEB0byyuvvlpzIgULTr9HDv1IZGQU165dw9DQkMmTJjBl+kyMbsZHkICm5t+4Ug/+mwIS0Pw33Z5ELZVSwS87NuK3bCteEQvp0aKBCCHZmZnY1a2HnpYmJRlXCPT04LUZ8xnwanc01Aq2rlvGpt1HSFy2nFrm2nzo6cwhLTsiQgIw0NEGpZzsghLqOdRBQ11OpNsMiuzaEezjioGe8EFXzvdrF7P2m99ZEBODtZEmR/Z+xPJln9PhjbcI83dDT1cHeVkpIc5juZ6lIKcMfKIT6Na66S3Y+qeFRti2PdPbl4GV27ZvwpmipIBIL3f6TphNm5ZNsbS0Ei1Hz9pB/kmM6bM+pwQ0d49Azc3lpFbzzTe7iY2OJT09HW1tbZycHRkzbpwY7rjyBpKA5lnfdtL1n5UCEtA8K+Xvvq74HMpOYX1iPF/+dBxdbW00NaBZx16EBc/DSFeXqz/vxHPhOwTFJdKxWX1UZUWsXhTDT+ezWbI0Qdx9lH3jNOFBMZxNyUSmqSEmGnx9zCScJoxClfoX0+d402O8K9PHDhX9Z4RQvnk3zhEdGs6RszewtrSi7cs9OXtoD6+Mm8mkEQPR1taiXF7GxmhfVm49gJNfIBNGDUZfV/cOZ+DKXl349QemunijoaOPsaHhrSWnlweNxmv6aE4f/ZlDu3dzNEvJbMfZtG/RSIx5I5XHq4AENM8R0Bz56UcWRkVz4cJFEV6mT5/CpKnTsLKyvqOXEtA83ptIOlvNUUACmuo1VoKVJjcrg0tXr6NUVQTVs7Gzx762LTItGYVZaSSn5+BQrz5GBnqolQpSkq9RWKamYaP6aMs0UZTLSUm+SmpGtlhfCKBXt2FjrMxM0CjL48yFq1jUcsDa0vwWRCgVclKvJ3M9LRNdPQMsTIwImu/BRLcA+narSFgqz0tjnrMTBo1fZp7rLGyFpab7QEhJYR5nz11AXq64LfOBBubWdjRwqCUufeWlXefLj9egqP0SU8YOv6elp3qNTs1rjQQ0zwnQnDj2F4H+AVy4eFnM29C7dw+iYmIxNzcXb/DbiwQ0Ne9GlVr8eBSQgObx6Fijz6Is5/C+PeRjQH37WqgVxez8YAmHLpYTk7iIhrVtUCvL2LY2gU0HzhOxMIrm9ezQkv0dd+Zh+l+Qk827yxNRGJhz+vefGDzFlUF9e0pA8zAiVvFYCWieA6ApLS3Bz2c+e/fuQy6X06Zta4IWBNGqdVvxS+OfRQKaKt4d0mHPnQIS0Dx3Q/rwHVKUsm/ndjZ/toMTZy9iamlDy+aN6fX6UAb07SHurDr7+49EJyxj9GxP3ujTFe3/CDNC4xTyMk7++SvpuUXI9Izo+FJHTAz0pNg0Dz9yD6whAU0NB5rsrEwS4mLYvfs7MXBe0yaNiYiKoHnL1vf1ZJaA5oH3hXTAc6rAsb/+JCoqkr/+PCZFCn5Ox/iB3VKrKS0pJv1GCleTUzAwMad+g7oYGRqKSSSFnFK5GaliZOFmTZugp6crwccDRa0eB0hAU0OBRoCSosICFifEs/3zHZSUlNCyRTOCQ0Np3rKVGP/gfuWfQDN48GCcnJ3Q1dOtHrNSaoWkwBNSoFwuZ0lSkpgGRIoU/IREriGnrUzHITZXQ+MuaKlM3ltDuiM1U8jppVSyf+93nDh5Gkdn53t+1Bfm5xHo9+KkPqgRu5yKCgtZtWIZn366jfz8Aho3bsSC0GDat+/4rzAjzPrbgeb69RtYWVpgZ2uLlvZ/WyOW7iRJgZqigFqlJjklhaysHAloasqgSe2UFKiiAhLQ1EALjUqpZM2q5bzz7vsUFRaJFBoWHsKgwUPEbMYPKv8EGsFzX4qJ8CDVpN+fFwWE+S/8I1lonpcRlfohKVChgAQ0d8+EA/sP4OnuLr7jo2NjqldgPbm8jN27dhIXl0BWVjbm5mZMnDCeiVOmYWxiUqV5LTzMS4ryWLAglIyMrCrVkQ6SFHgeFMhIT+Pq1WviTkAJaJ6HEZX6ICnwtwIS0Nw9G7IyM/nrz9/FdAfNWrTE1taueqQ+EJJM7d+3l/CwSNLS0m4FzpswcRIGhoYPZWVRq1Tk5uXdSlol3RSSAi+CAtu3fcqKFatFB3oJaF6EEZf6+CIpUBWgKSkuYuvmTRw9ekxM2Dxu4mQMjYwFR6rnUirBgCF8wAkhlIQQLv+2GvPUklMKy0zHjv6Fn6+fmNJAV1eX4cOHMdfNDTNzi4eCmcpRu8Mp7rkcSqlTkgJ3KrDpw/dZlLCYktJS2rZtw+p1azE1vXfANOH++GDDKsZPmSV+PEhFUkBSoHorUBWgET7my8pKKS8vF901dPX072uxqN69ffyteypAIzxYL54/h7+vHydPnRbX/4cPexO/gCCMTEz+E8w8fimkM0oKVH8FBKBJiE+kTF6Gm4c7M2fNvu/DTAKa6j+eUgslBW5XoCpAIyl2fwWeONAID9WU68lEhIVx+PAR0XTUvUcP/AP8cahbV0xRLxVJAUmBqilQCTSlZWW4e7gz29HxvhUloKmaptJRkgLVRQEJaB5tJJ440BQU5BPk78/33+9FqVTRqlULFiUmUtve4b6B8x6tS1JtSYHnV4FKoCkuKRGXa13mukhA8/wOt9SzF0wBCWgebcCfGNAIX4eZ6emsW7OKbf/7nNKSUtq0bolfgD+t27YXUxpIW60fbfCk2i+eAhLQvHhjLvX4xVFAAppHG+snBjTCLoy1q1bw7rvvU1ZWhr29PdGx0bRp2+6BgfMerUtSbUmB51cBCWie37GVeiYpIAHNvefA7RuAnvoup7LSUrZs/piVK1aRl5ePlZUlIaHB9Orzqri7SSqSApIC/00BCWj+m25SLUmBmqCABDR3j9L5c+f49JNPxR9GvTWKxk2aPL04NELgvI0b1rN+w3sUFBRgZmqCh4cbQ0e+JcKMtMxUE24rqY3VVYE7gcYVl7lz79tUySm4uo6i1C5JgXsrUBWgEbZtZ6TfoLioCH19faztaj/Xm2sOHjyIt+c8kR2iYqLp3bv3ff1vH+uSk/AA/eXwTwQFLiA5ORk9fT0cHecw7u23MTE1k+awpICkwCMqcDvQjBs7iqDQCNEf7V5FAppHFFuqLinwlBWoCtAUFxWSGBfDT4d/plPHtsz3F8KfPL/v12eSnFJ4eP7268/4+vjdjAKsxdsT3maOkxPGxlKsmad8X0iXe04VuB1oLC0t+eqbrzEyMr6n5VMCmud0Ekjdem4VqArQSNm2+z15C82ZkycIDwvn6LHjYuC8EcMG4+zmQa3adZ7byfesOiZEXf7tyAEMLOvSqlnDZ9UM6brPQIHbgUZKffAMBkC6pKTAE1RAApq7xX3qFppTJ0+QEBfHb7/9jkKhZPCbg/Dw9MBWXNvTfILDf/ep1Wo5+77Yzl/nr6G67WdtizpMHz8KQ71nFwJeABEhuaCesRmmRgb/WRd5aRERvnOx6TAQ16lj7nkelbKcoz98zg9/XkWpVovHaKCBrrEpI8eOw87U8D9f/1lUVCpKOPj1Dv48e+1Wf8Qemddh4qg3sa5h/fmvGkpA81+Vk+pJClR/BSSgeYZAI1hi0tPScHedy+nTZymXy2nTthXhUQtp3Pj+nshPclopFblEubmRrDDG2cURIwM98XLaegbY2Nigp6v9zFJ4FWSnExcVTp2X+jNn3LD/7CBdWpRPkOcsbDoOZr7j5HvKWVJwg5Bx4+Gl15k2bhTaWhVJvbT09LG1sUZPR+dJDsNjP3dpSSpJgb4kK+1wd5kpJioT/0dbD3s7YVxrVn/+q0AS0PxX5aR6kgLVXwEJaJ4h0GRlZhAWEsL+/QcoK5PTrm0rAoIW0LJ1a7S0no0lRKHIJnSOE3mGDoSFBWNhbnKHQiVFBWTl5GNjZ4eOlgzUaooKcikuB0tzU8oKc5Cjg7GBHplpaZQp1aJDs6mpkM3076JUlIswp1Cq0NDUwq52LbQ0b2Y7VSnJyMjCzMqS4rxc8otLMTE1IeXcKeJiFlKrwys4ThiJsYkp5mam4kkFOExLuU65Si1mTrUwv9PJq6y4kIzsXDRlMoz0dQmb74Rth8HMd7oX0KjJufArw8e6Mt4nhGkj+qOrc+d4qJRyMjNyMbeypCg/h4KiUgxNzLAwNbqjn0UF+eTk5qGhqYmVrR26gmZCUZWTmZmNkYkpgqZFJWVY2tihr6OFvLSEjMxM0JRha2Mj6ou2AUZ6WmSlpmNkZY2B3s3t+2olWRmZ6BgYY/wvVquSohQS/OaRo9+c+OgF93WErf6PrEdroQQ0j6afVFvccOWtAAAgAElEQVRSoDorIAHNMwIahaKcJYmL2LLlUwoKCrGwMGfFqpW0at0abe1n97X8r0CjVvPHwd0krHgf98AwurRpgrJczvtJERRbtWH6+KGc3LGC48W10ck6xVc/n0VersSucSuiQ/3Rv/kSluemEh23iDMXroKGJiqlmlcHD2PapLHoyDSgOJuwsDjGOU3k3fBYzheoGDZiEF9/8gkXr6egpVthLeo5aAQe08cjL8giJjaBcxeviMtkBgbm+MWE0dDKGk1NDcpK01mXkMiPRy+ioalN56GjufTth9h3GXpPoFGrVfy5ewsuUesIXrKS/u2aoiW7c+mv6MpvBCd9xowRL7H2w8+5kVNMvebtCfT1wEQAC5WKlN/3E7z8PYQgiUI/O/Toy5yZEzHW00OZcYaFCSvo0vtltn+8gxyFGreQGDrYaxO9YCHnbqSjqSWj15tvo3nhe8xfHkv/9rVY5OrH666e9OzWWexbec4VoqLi6TViKv16vHTfZ83fQNOM+OhgCWhKSpB8aKrzq0lqm6TAwysgAc0zApri4iJWLFvGxx9tEl94jRs3InBBEF1f7vafl1IefvjvrlEJNOcLZIx8ayRGhhWp1Zu2aEPDerVJv3aBRQHzyLdqQ3CQD2e+28qG7fvwCA6ndYNa/PhuECt3naNJh6507dAWdWkWX27/nGb9x+E6ZTTaajmb1i5l++EzDB8yGAdrU65dOMHuPQd5y8mbN3t1Qrskg2kz51KqLKdlxx7YWFnTqmUzLh7/nY83b8G8QUtefbkzzdt2EKFq05ql7D2RwpChA7E2NeDI7h38cjmP6PiFNLAzZ/PKeLbuPcaQ4UOxNdXjp+++5cCfJ3lzwqx7Ao1KqeDztXHEb/qOGTOnY2dpJi6zNWnekkYN6yMYkg58spKwtTto3bQx3fr0RFGYyQebd+CzaAmvtGrAhd/2E7f0PVp06U6H1s3IvX6BuJXvE5GQRL/uHTn7wxf4hCRgZt+Azl06YWJqSY9XevDtpg38dD6LwYMHYKxRwuefbCWloAz3sES61jdirfcUag12ZczwQWhryfj5yw+I2/A5wbFxtP0XB+cKoPHkdI4h48eOEMdUpqVFyzbtsa9l80zn3OOYt1U9h2ShqapS0nGSAjVPAQlonhHQCJdNSU4meEEQP/10RHyhtG/fjsioSOo1aPjMXjCVQPPNHxcwszAXv+S1tXWZ4ezG0IF9USnKyTq5D0ffRfQYPII/9+6kbb9RuM2agJaGin3r/fjwuAZRIYHYWVmgVpay/f2VrP76JCuS4rDRzCM4MJDekzwY1rMT2tpalJYUsiY6gGMFZiSEzcdMo4CpMxzRbdGPhPmzMDLQF909slOvEegzD4dug/F3miJqdOPSGXx9vJnmFUrPzu3QlslIOXaIN6d64hu/jMEd7PGcMZm6vcfhOWeS6NSclX4Z79lOtBw48Z5AoywrIjHAlS37jmJhYYFMcMyWaTPbxZ0hA15FMNa8G+XFpgPniYyNpVPr5lw7cxRf/xAmBEbSr7EVS0MXQJPuOE8eRXm5nPM/78EzYgWRSSt4tUtbvv54DVHL3sdjQThDX+sj+iZd+H0vYXFrmeYbQq+2TUGl5OCHi1n89UlWbliLlUzOF++EkaLdGqdpE9DWlBM7340r1CE2zBcTo/s7KgtAEz/fg10/X8bM3FzUTt/ACBcvX17p3qmijy9AkYDmBRhkqYsvrAIS0Nw99IeEwHrzvESLfnhkJL1feeXJbNsWxD939jRR4eH8/sdRtLW16dixPRFRUdSxd3gmk7ISaJIVJri6u4jLJ5oyLSysrDA3NRF9ZspKiti0OISV2w9i1bwzq+LDcLAR4EUuAs3uNBuCvN0rll7UavZ9+TFRSZuJW7YYazKJikjEJTKelg0dREtBubxMhJ6P951m3ZIYrHRKmTbTid6zg5nYp51oiRDKvYDm/LGDeDr70LrXa9SytUIm06A4O42tO/Yw0SuMsZ3q4DRtCm96hDNh2AB0tDQpKcwn0HMWdh3fvCfQlOSk4jtzMiW2bZjrPB0DHW3UGjLsbG0xNjZEXZLKfCdnDNu8hrfzNNFf6ORvhwiOXkxE3CJ0ilLx9fDCpuVL2Jjoc/b8RXR19ek9eDjDB/bDzNiI9QkhbD9ykbUrk6htbQlqJf9bHcs3p3JE3yUbcxOU5WVsCHbklyIr1iyNRa1QcGjXFj7+7QaLA1xJPfoDXiGLGe0WwKj+PdDR1vr3JSdfT64pa+Pl7ihObmFcbWvVwkBfD03RS/j5LxLQPP9jLPXwxVVAApq7xz4nK5MTx/4S37WNmjTH2tb2yaU+UKmU/HjwIJHhkVy7dg09PT0mT5mEk7MLunoVO4yeZnmQU7DQFkVZEe9F+vPed0dQGDjwwTvLaFy3FqryMhFovsmwJcjLHWNDfbHp32//gKjl24hPisdSlUZUxBLmxSXRtJ6wLV0DhVzOFx+s4MO9Z1i7JPoW0PR1jmB8r9a3nIXvBho1544eYJ5bMD4LY2ngUOeWZUuwQBgam1KedpE506YxxDOcicMHoi3TRNjlJADNPZ2C1WpSz/3CtBnz6DPOjXmzR94FCgUXfsPZw5cRcxcw4o0+aKDm8J6trH5vFwsXxZJ65hv8A9YSHL+IuvZ24uTR1dXD1MwMLS1N0fIS4+tKqp4D0QHzRKBQlJWwJMidbJOmBPl5oq8toyjnBm6TZ2DXqTdRoX6idezkke/wXvY57y0N5dPlMRxJlxETFUwdS5N/3X32IKdgwW8o/fpVLianY2CgR736DdCXqUhOyxYTo2qolaSlZWBlaUFqRiZ6KLh0NYVa9epRr65DjQEiCWie5tNEupakwNNVQAKaR9P7saQ+KC0t4ccDB4iJjiEl5QZmZmZMnDCOKTNmYmDwdOOdPAhoVKpyLhz8gsD49xgycSy7Pv6Ipj3exM99FjqaahFotpzSIiIkABsLM9E5dtv6ODYdTiEuKhQTeSqhAQH0nx3IkF6d0JLJKCstYW20P2fk1kT5u2OqUSBaaO4JNN7zsOs6kAUuU0V4uX7hFPM9PRjnHckbL7dH66Y1R6VSibBUnHYJl1nTaTFwKp6zJqOrIyP70mm85vvQst/Yuyw0aqWCk/t34hq6FO8V7/BGy7rIKndf3Zwrf+39At+wREKWb6Bb60aoleXsfDeR7X9mig63Fw5vwi98M0s2bKCpYIUSrB9qNZpaWiL8KIsz8ZgxiYZvzMR5wnB0tbWQlxSy0HsO1OmI/3wPtDVUHP76fwQtXMyQiU54Ok1GLez+OvcXM92Cmew4iU82bGSMqx9D+3b/V+uM0Ox/Axphh1hB5nVWLF2FUdOO6GSfJ0dpysQRr7LlvbV0HPA2pnkXOZxcxvA+HYiJjcOhVj1kRnokX7mOS1AoDWtZV2wFr+ZFAppqPkBS8yQFHkEBCWgeQTwhkof69rzcj3Cu0pISfjp0kNCQUHE7r6mpCdOmTmHK9Ono6D49S40ANGGOzlwp02fK1MmYGFcAlYaWPm1aNyfz8ikC5vvSqM9wPGdP5K8v32PRx9/hEx5J55YN2b/Bn8hNv9K8/csMGz4EefoZPnr/M96Y5srEEW+gKMnn/ZWL+PLHE8yaM4da5sYc/WM/e/f+xUy/QHq2a45OaeY9gSYvM5WwgPlcK9HDceZkrCzNaWxvy3uLI9lx5BKT58ykcR1bFKUF/H7mGmNGDsfMQMaK6GC++/0yE2ZMx1oftm3ewqnLKQwcO/UuoBF2be3cuJRFnx4gOMALIz1hOUZQQEajZs3Ebdm7PlrL4vd2suHjd6lrbUF5WQmLg1wpqN2dYLfJXD7xEz6eQbw6djpd2zYTgSY35TKd3xiKmZ4OuZd/Z/q0+cyMiGdAT8F/RUO00Hy4JJydf6XiOGMy+ZeO8r89Bzlz7jLzYlYztn8nUKsoyklm2oQZpOaX0G/4ONzmTMHMxPiBsYEEoFnkN48LxRbMmTnp1i4ntZY+zZs24vKRL9lyOJnXe79McdZ1tn++k7n+wajSL7B01XqUMiO8g0OxU+US5B/B3IR46ltZ8OGShVh3Hcqwvi/ftRPsEW6HJ1ZVAponJq10YkmBZ65A1YHGh2/2/EDv7l2IS1yMibnlM/Nbfeai3daAxwY0oKa0tIyDB34gNCSM7KxsLC0tcHJ2ZMzY8WhpP524NCplER8uWcyeX06CTHbrRalrVY8F/p7cOPkz7378BW4BATSvb09pST4bF8dTXqsVU94azC8fhbDlWAnNba04euEqKqWKpm1ewnHONKzMTVGrlSRfOM2Wd9Zy7Go2QgxemUyXIaPHMPj1V9HVlonbtqNiF9Fp+Az6t290a8lJIS/h4J7P+ejjnchlWnR//U1mjh1CTuoV/vfRO/x4/LoYj0ZDJqN2m654Th+PlZkJaRdP8MEHH3D8wg20dfXp1u81SpLPYd64PRNGDrpjPpXLS9nzyQd8sns/yooAwRUTXccMTx9P2jVvwK4t7/Hj+Uz83J1ER1whxs17yxKw6TqIEa90obggm68+28rXe3+kTKES69s3bEmAnwd6Otpc/nkXiZ/9gpurC03r2lZorFZy4divYpb161mFmFvVoVVzO7Zs2s3qrZtoYi3E1VFTWpyP6+SJpKlNiU2IEZftquLQW1aSw9b1K/j2yGlUYszjisB6ahN7gnxcyP5tB+v3naF9s0ZookbP0IwBgwdSnnWVYL9ACnVsWb52KToZlwhZEI3/2lXY6Bvw8dIoNJv0YNzgvmhr3d+Hp7rctBLQVJeRkNohKfD4FZCA5tE0fYxAUxEcrrCwkHfXr2Pt2vXiC8zGxhbPee4MHjLsKaVBUFFWKqdcobhDGU1NGdo6OmioVcjlcnT09MTlImFpR15WCppa4i6nHzb483WqJT6uTreCv8lkWujo6CC7GctFqVRQVlqGqjKlgBCBV0sbHR3tCnhQqygpLRMhTkumdWspQ9BHUS5HLi9HjQZa2lpihFvBD0kITKhU/p2sQYAafV1dUTOlQiG2Wamq+L0yu7IQZE/3HxF/b12jvFxYJbqdXUX/JmFJS15WJoKY4MQtnF+4frlCKQKCrra2qIkQ9fl2DQX9hOzpAkgIfShXqNDR1RE1FHlGrRado4V2qoSTK8v4avMqtv6Szfur4tAX+qks5/Qve4hYtoXpLq680kVwmK4aRKiFNgnald85rqCJro4W537bw6Zvj+I0ewaGujKu38jEoY452zeuIwcjilNO0qjHaPo0tcTfJ5Ch7r7079iUhQuC6T/Vg14dmt3qy6PdUk+2tgQ0T1Zf6eySAs9SAQloHk39xwo0lS+2vNxcli9ZxKbN28TW1a3rwLLlS2nUpFm1NosJu3Lu5RT8aBK/GLUFyNmQGIbCtD5WZsbkZtzg611fMdZ9AW+91l2EhbQLR/Gc40b/WZ6MGzbg72jBjyiRADtFuRm8szKRg3+cF6MpN+rQh9dbWrD5m8PM852PRl4KK9Z9xOSxI1gSFYNVCweuX06nVpvuhPt5YCikxKgBTjQS0DziZJGqSwpUYwUkoHm0wXnsQCM0RxiU3Nxc1q5axebNW8Sv9xbNm+EfFEjbdu2fkqXm4YURduH8vvsd/sw0ZvyYkRjqPz3fn4dvbfWqIfju/HloL199u49zV1Np9lIXurRtTZeXOmJsaIAAHTs2LubwxTJc3OZQy9ryse4sEhJ/lpWVCfkqK9JwCnFpbpqoBEuZ4JCsKFdSeO0MIUEL8VqWRG0TM3H5StilVRNgRujZwwPNSsZNniVa46QiKSApUL0VqASak6fO4OjsfM94K4X5eQT6vTg+NMK7QyGsuGgIqxNa/8oPTwRohCkjLFsIuY6WLF7Ejh1ficsuTZo0IWFRPA0aNq5ILFjNirhsIiw/acjQ0tF+rC/catbVx96ciqWucsrkZeLSmbAEp62jLS4pCbAg/C4vK0FY2dIX4sY8o0B4WeeOEREax/xVy6ltUpFHqyaVhwWahWEBtGvb9tbuuZrUV6mtkgIvmgLCe/PU6TNo65niPHeuBDTA6VOn2PjuO+JUmDRlCs1btHxycWj+bcIJtJly/TqxC6P4fu8P4lfiyy93JjQ8nFq17V+0uSr1txooICQVLSkqRt/YuErOyNWgyXc04WGBZt+e3ZTJ5TXGAlXd9JbaIynwNBUQPwwV5TRs1JTmLVvd88X9olloDh44wDwPTzGMSVR0NH2eVKTgqgy04EB76uRJfLy8uXr1mvh1Puqtkbi4umFSA7+Qq9Jn6RhJgSelwMMAjdCG4sICNDRvZkh/Uo2SzispICnw2BRQqRRiZPb77Qx+0YBm/w8/MNfZRYS7uIR4+vbr92RSH1R1BIXAe4d+/JH42DgRaoyNjXn77XHMcXJ+JtGEq9pu6ThJgeqmwMMCjVIhR6alU926IbVHUkBS4D4KCLtBNTQrlurvVSSgecZAI/pPyOX8+ctP+AUEk5aWjomJCXNmTWXM25MxNDKSJrekgKRAFRSQgKYKIkmHSArUYAUeBDTFRYWsWbGcn3/9jfZtW+Hi5omRsUm19Et9HMNQ7Sw0lZ0SdqF8u/srYmPiyM7OEVMkzHV1ZvSYcU8t8N7jEFg6h6TAs1LgdqBp164ta9atw8TU9L5fc5KF5lmNlHRdSYH/psCDgEaIG1aQn09JcQl6eroYm5giq2I8r//Womdbq9oCTUXgvQI+fH8j69aup6SkFAcHe4JDgunarftDbC1VixmnwyOiyMrOebZqS1eXFHiKCqQkJ3PlylVxG+McR0ec57qIQR/vVySgeYqDI11KUuAxKPAgoHkMl6hRp6i2QCOoKGxLy8vL5eP3N7J23Tvig9nOzgY/Pz/6vf5GlbbzimCUl8nIkWO5fj2lRg2O1FhJgUdVQEyPoaGBm4c7jk5O/3o6CWgeVW2pvqTA01VAApo79a7WQFPZ1Iz0VFauWMkXn38hWmo6dGiP93wf2rXv8ECoqQCaDEaMGMP16zcwNzMToUjY1iUVSYEXQQENDU3enjiREaPekoDmRRhwqY8vjAIS0NRAoBEsNZkZ6SyKj2fnTiHwngatWrciJjaGevUb/GvcjH8CzcCBA8QkmFI01Bfmnpc6qqGBqZk55uYWEtBIs0FS4DlSQAKaGgg0QpMFMLlw/ixx0TH8dPgIQgLEPn16Mt/XF3uHevf12r4daFJSUhk9Zgy+/n7o6+s/R9Na6oqkwIMVeFDKhud9yUlRVkJySuqtRLEybR1sa9VCT6vqsXfKinI5+tsx6rdpK2a3V5cVsm/3TkyadqFT87s/rsQkqz/t41RmOYMG9qe8KI/jx05Tv007aluYPHjQ/sMRQpTttBuplIuZXyuKkN7D3KYWZga6/+GMT7eKEEU89Xoy8tvbjwaG5lZYmxlXx8DxT1eg264mAU0NBRqh2UIOnvT0dDzcXDl69Ljo4NinTy+Cw0KxtLS+56S6F9D4BfhLQPPMbkHpwtVVgecdaM79/B0ewfEIWdc1NEFL14hXh41g/LDBWJubVKT2+pciPEuO7f+CwLh1uIcs5NVOrSi4dpS5M7wYFbiQIX26oiW78yyl+Zks9PLkpHZD1sf4cOLQbiLjVzMuZDGTerdG8zFPBqGNZ3/5jsCwREpUajSFjgLa+obMColmYNtGj/mKj/90ackXmDdjDjloIZNVwKaGTEbHkbMInDwYbdnjVu3x9+FpnVECmjuVvnD+HFs/+USM7D7wzSE0b9Hi1hz655g8sVxODzP4QqjnX34+QszChZw/fwlDQ0PRUhOxMAY9vbsTREpA8zDqSse+yAo8z0CjVivZvj6GlVt+wD84FFtTfc78foj3391Mr+nuuE8ehdYD/OqEZ0nWjSscO3OZdh1fwtRInxO7N+G7difRi+Jo18jhLijKSb3GfA9PGr32Fu4TR5Cbdp3jZ6/QsWtXLIwNHghRDzsfhW2629bEsPXQNTxdZ2FhaiyeQqatjZWNDaZGhg97yqd8vJqr5/9i6sgpTPcNonOntqJLgYamYKGxxsbcBC0JaG6NyYOARsw5WF4uJoEWXvLaOjrPdWoTweghl5eJSYe1tLXEPIH3K9UCaITGCT41Px7YR2hwGCk3UjE0NGD6tMlMn+2Int6dS0kS0Dzl55F0uWqlQHZWBkUFBeJDrE7d+v/6MHuegUalkLMqyJGvTxWx5p211LIwIe/yCfwdZ1NryBzmz5mIrpYmF8+cpFzHhOYNHcRxLC0u5Oyp09Rt0hwzI32uXjxDbqmali1aoIGaT5OC2H2+hNioUGwszBAyyV+6eJ7M7DyMzSzQ0ygnMCCAqZ5BvNa9IymXTlGmbUGjurXFsbh8/jRKXTNsDTQ5e+EiSk0dGjdrhpmxYQXsqNWUFOVz6sw55HIFpnXqYy6Tk1Egp1WzRnclxRXyjy1b4M4Fg+aEeszC0vgfz0NVOWd+/QPDuvUxVMs5dyUZLV0DmjdriqFBxQehAEUl+blcOH+e4nIVpla2NGlQryJpqVpFypVzZOSpsK9lweXLl7Gu14i6NpbiiyT53HHSC8qxq+OApbEWaZlFNGzUgOvnz5Cl0KFVswY3LSxqstMucT29hKbNm6GrrXXzvhGA5k8mD5tM0LJVvNqnOzIJYO77THkQ0JQUFxG7MJKfDv9Kpw5tCAwOwdC45iXafRIP1WoDNKCmpKSEb3fvJiI8kuLiYqysLHF2ceKtMePuMDFJQPMkpoJ0zpqggAD+a1Ys4+uvvsbAQJ+177yHkbHgg3DvxZXnF2jUlBdk4DZ9Bhm2vXg31hV9XS0Of/E+cau3MTc4lH7dO1Nekk2opwdm7V/H12miCBRnfvsWL59IghJX0a6hDYl+7iRr1iU+IQw9bRXRzlMotG1LoO88dDUVfLllAx9v3Y19s7aU5Kajb2zOtUsXCYpJpLm9MYvmTsew53jmTh2DjrYGIW5z0LZtRt71S2ibGHPxzDEadx/OfJcpmBrqkX75FKtXr+S3E1do1Kg+566kYGeqj1btViQGe6Kvd6dPjKLgBvOcXWg1aAqTRg4SIU20cGgI/4bca2eYOWMu7bp2JjszF119TQ4d/osxs11xnDRK/Ir/Ze8uNn/8CXJtA6ysrcX8ekOmOjNmQB80SnNZGRHIjmtatNDL4+jZS0z2DmV410ZsXLeOX/88RuMmdTl3JYd61vrIrJvhO8+R7fGh7DhXSkJSFA425ijKcljt48ZpDQfCIxdgcQu8/gaagKUrebV3N3FHqtAHIT+PVO5U4EFAI6Q+WBDgx57v99OrW2eiExZhYmbxXFtpqjpHqhHQVDgJFxcV8fVXu0hanEROTg7W1tZ4eXvx+oAB6OhU3OgS0FR1eKXjnjcFCgvyiYqMEsMdCOlDtn+xHRtbuxcPaNQqcq6eZtqsuZTVbsOADo1QlxSwf+9eOvYditOcqViYmZB78ltcfGIY5BjMhDd7g6qcHz9Zzvyl21n/0UfY6BTjPsMJ2wGOxMwdibroCtPHzqD9oLeZO2cKZw59QcDCNYyaOochr/ch9fxfBM4PQrt2M5asWo5+wRmmTvBmQtBCRvXvgpYyj6njpnA1u4ypsx15c0AvvtnyDp/sOc2ipXHUtzXhw1VJ/O+Ho/gF+tG0gQNXjnxFYOwqeoxzxmv6aPR0bjepq8k59yuznb2wa92V5o3qiaZ3A0Mrhr/1JubGhpz59QdmOs3Dwq4eLp4etG9Rl/eWhHAy15rVSRH/Z+8soKs6tjD83bgr7u60QHHXtri1FGiLawIJbgkJECQkSHC3QrEWa6FIKRR3KBR31yTE5ebKW3MCPGiJkUtjM2t1vb7mnJFv5pzz37337CHiwUVGeUwib8UG9OneEWtjHVM8h3PJpDgrpozAJPwho9yHcuZRKD26dKVBw9o4OdpzatdPzPpxDwOGDqNJjXIc+mUd3n4LadHNhSH9unHqp5nM2HicKbPnUaZIPu6c2ovrmGm07j+c3m0avZVGI17QfNvyW6o0bUHhwvkxVqmwdXSmdevW2NlYoQ57idrIDJu33GfiPR/+MggzazsszP+fPFKvjSE4NAZHB/tMmaojKUETGhLMiCFDOHj4GPXrVMd32gwpaF696NOVoHktVqKiItnxyzamTPYlTqMhW7ZsDB06iOat2ig7oaSgyWyfaTme5BLY/stWfKdMJSgoWDnk9eefN5C/UJEsJ2h0Wg1XTuzDbfQEcuUtgLE4UVyn5fnTx5StXp+RwwaTw9GGY+sWMGnxdiYvXUT5ogUQu6LmeA9jx009axdPJuzuBVyG+TB4znI+L5Ofhyd20nOwD98N9aJTi3pMHtqPR1ZFGTfSjbzO9sSEPMKrWx9CitViru8IruxZy/B5W/Gdt4AKBXIQ+fAK3foPpcl3rnRp01ixtuxYPY9V+28zfYonNpoXjPWcQIU2PenWoh5mpiaEhwQzbJAbLfqMomm1Mpi+tUNLvOtO71jNEJ955CpYBEszEzAyoUa9z+n8TWvsbaw4+ttGhnlNpd+IcXRs8wV6TRRrZntw+kU2fD3dWD3Th323o/AY4YalSsvLS78z5Yd9tOraj+/aNuPx5VMMHT6G3FVaMmVkL2ytrXj58DKjXdwp0aYnA75vj5WFBeEPTtKqTR+6jJxA53bNuHl6DxMmzWWYzzQ+K1eQlTMmsufcI6ZOn0bBvDnfWtLxgqZz8844lSiBg72d4lbLX7Q0g4cMxNHGir8WjeOKcwW+/qoNpq+sNnGxMSz2GkGFtj2pVf3T+Pr0emKeHGT0/COMHTUEJ5t/x1gm91lKr9clJWieP3/KoAEDOffXBVo2/5zxk6ZgaSXPQxTzme4ETfya1REaEsrC+XPZsOEn4uI0FCpUkAkTfahQsZLy8n6dWO/1tm25yym9Pp6yX4YksHH9Ovym+hEZGYWNjQ2rV6+gZJnyWU7QaONiObx1EQu3nGXmzKlYWlig16jZ/eNC5vxykolT/ahbrgBLp/J1pjkAACAASURBVE9i84Ugls/zJ4+znXJkiodbf1SfNGFc76+5eHgX4xZsZO2qJTjZ27F/4xI85/2M98y51C5qT7/vu9Kk60A6t/lSCVx9eu0sfdxG0aDLANy+acqWBT6sO/GYxfNmKvE414/vxXPJVuZOm0JOJwdU6Fjq780VTXbGuPXh2endTF++GY9JvhTJn1txGQU/usbIMVMY7DebktntMH4rkFkImi3zJ/PjgatM8ptCbkcREKxSAkGF1cJIr2HzQh9mrDnA4nUbKFMoNxGBD5nq0gWzmt/Q95smeLr0I9DIkbJlihEWHExMrDGtOn9D9Uqf4Ghvz9kDvzFx1jImTQ+gVKG8GKPn/J6fGOS/ivEzZlGzXDFl7Dd2r6HTyADGzZjLl/Wq8uTGeUZ5eNFtkAelspkwxnMCRRt3ZmTP9lj+w8okBM33rbswzG86tWtWVdxgxqYmyryJcnSKCxdzVKNThzaoVKbY2lqjjo7Cf0APqn47mM8bVVdimcQZRkZhx+kzeR9zpk8ku52VIR+vdFFXUoLm4YMHuPTvz43rN+jQoR1jvcdhYpr+t+7/F3DTpaARAxexAs+fPX2TeM/ExARxGJ/fNH9y5c4jBc1/sTpkG+mOgBA04nBXEWMmAud9p06mUZMvs5ygUUeFsc7zWw7ryxEwyQtrK0sl8PXPdYsYs3w7Pr7+1C6REz/v0YTaFWXi2GFYmRoT+OgcvbqN4Bv3MbRpWJVdG2aw+eBTFs6dpvBcOX0cPx26yZxFM3FUPaf3d0PpPdqbLxrUEG8lDmzbwIQZixg1eRr1q5TGb8ggHmDPdD8fLMyMOLx1OTsvBOE1ZjhWFubo1KFMGOFGwZpf8f1XTTm4cQkbfzvHhBlTye7sgC4uil+93Nn20poF86ZjbmzyTk4WIWimD+/NFW1OAiZ6KNaTt4s2OoQ5o4aw47KWjVsX4mhtwZMbp+jSaSBdvHxpUt6OPl1daNFrOB1aNY4POFYZKbtHRUCwkZGOnetnsn77VWbOm4mjnS16nYY9q+cwZ9Mx5i5dQMEczhihZ+74Eazcd5kFSxdRuXg+Qh/fYuTwUVRt/z3Zo5+w/ve/mOzrQ8Fc2f6xHhMPChbv+sOT+rE/LjeRwU8J11gwdNxo8tna4OfanarfDaFx3fL8uGA6e0/c4Lu2pVmy8zkLAqZkSUFz49oVBrq6cf/BA7p268qIUaNk/Ex6dTm9/bCKc57u3bnNzOnTOXDwMELU1KhRjdEeY3Cws1KOPpAWmnT3zZUd+ogE3hY05ubmuA8aQNfuvRIMrsysQcHhgfcZ1rYtOVv2YtTA7hirdLx8ep+5fpO4r3VivNcYnMy1jB85GPOiNZkw3IXHty/hP8Gba89iGO8fQIWiOVk5tjt3neswfsQALC3MmDrChdvG+Zk+dgixobfo1WUInQeNot2X9Ql8fIsFM6Zx8PxtAuYvokQeO4YMGIBzqap4DndDpY5gzfg+RBRvQb9unTAzMSHi2XWGDxhOywFjaFqvCn+sX8SqrSeYGDCNPM42nD20i4k+0yhevQnTpnj/e4dT9BOGdO+LY8UmDHfrjeWrWJL4oGAVYU9uM3TwMCwb92Z6t8+Vbern/9iM64QFTJ63gNLOsfT/vh+1O7nSv+vXmAl3Vlw00TpjrC0t0MWE8cO43pzRlcJ3ggdWFmboNHHsWT2b6RsPM3PRPEpkt+fCwd+YPG0eGucSLFowjTyOdmjCnuM5fDh3LAuSM+IelZt+Q4eWTf4RA6TY3N/scvIQQcH1ar6JfRFj0CuCpi9Lb+rp9F0nAm9f5MTNYEYPdWXZ6AFU6eyGc9w9Nu6/SLvWTflr90Z2PTJm6SxfcmRBC82xI4cZPWo0ISEhDHQbQM/efT/iGyftqw4KfMHF82eVjpT9pCLO2bInKODSrYXmNUaRo+be3TtM9fXl8KGjmJuZUbt2TYYMdaNXLxeePInPFCxdTmm/8GQPPj6BtwWNSFDWsmUzJvn6ZS1Bo9fz8O+jtPm2H/nKVKB0kfzERUfw8N5dLLIXpF/f3lQsXxpddAgzfMay9/wDqlYsS2joS8qWc+DA3rv4L1mCY+wjenbuRf3eI+nTsRlmMY9x7TuQYk264vJdazRRIYp76l6UKWWKFyLw2RNioiIJCtOyYOVyrDQhDBroRvWvBtCvQyMint+jf8eOtB48ga9aNlHcKvdP7WDwpOWM9Z9JxRIFuHXuIOPH+2KRpzgOlsa8fBnC/WtXadChGyPd+76bw0av58XZ3+k9xAuTXEUpWbTQq3wtxnxatyEtGtXm0eUzjBw7iaF+AVQuWgCVXsf2VbNZsP00ixfMwslSxTSP4Ry7Fcynn5TBwtQETWQI1Zp9TYtGdYh8cpU+XfpTrk13RvT/Xtl+rddquXvhIAPdRuFcsiI57a15qVYRfOsvCtdph8+QnliamyOCc3/0Gc2cLfup0qQlY0YMJnd2sdvmn8/Bq6DgFt9SomYt8uTJqQg3sUurQNkadG7TkJN+rpyxr0TPXl15fvUMHjOW4TXWg01TxlCpgwvBF3cTmbsqPTs0I+zWdvpNO5RlLTS/bN3C5EmTFS/G6DGjkzzP7eO/lT5uC0ePHGH0yJGoUDFuog916tRJ34n1ksIh0mbfvn2LoYOHcPv2HSwszKlevQqnT50jPCJCCpqkAMq/ZxoCbwsa8ev2k/Jlmb9oIU4JZNXOlBYavZ6Xj+6w9MeflWyzpiLfiVZLifKfUblieexsbTAzM0Wv0/Ly3t9s3vknMVpTqteuSV7dQ/ZdiaF9x7aoX9zjh59/o16zNpQpnBf9y3ts3LKTcvWaU65oAdBruH/5NL/+cRyVsSkVK1eDmGDu3I/kq84tUYeH8su2rXz2RTtK53EkIvAJK35Yx+dtvqZE4QLKh/3hxdPsO3eDZm1akd3OBuEqO37oAKcv3sDe0YnSBXLiM8mXjn0H07Vjm3fXqdjlc+8yG37ZQ1icXnERiZc6xibUqFufzz4pw5O7N/nj4GFatvkKe1trxdpx9tAfXHoSxldtmisWnfCQEPbu+IVHQWHKL1tjE1u+/v5rstlaE/bkDuu27aFS7QZUKV/ylaDSExsdxdnjhzhx7go2NnY0blQGDzdPvug1RgmWFsy1sdH8NMOTFX9eY+zEyVSvVC6BBHl6woKD2LBiGZGYYvRqHOLohnzla9C0ZnlO+A7gjFNl+vfrwYO/jjJ+zipGjx7FJt8xVPraheDLewjPWVkRmoGXt9A/4AgLZkzOci4n4VadOyuAJUuWK4cyT/XzpUbtOpnm/fa+gWSI07ZTOgNqtZrjRw/hMWYswcEvFfeTyJYoirTQpJSmvD6jEnhb0Igx5MiRgxkzp/NZlarvHVKmFDSAVqNR8lbp9P8/28jcwgIzU9N3zNEiKZ06NhYtKsxNTRHxtmqNDgtLc+XYlZiYWMzMLTAR6fh1GmJi1ZiYmWHyKpZFE6dW7tepjOLrBjRaLaItdDrUcWolIFMEzYqdV1HRMcrfTE3ik8rFqWPR6vSYmpphbKwiNOg5ETE6rKwsMELHqf07mBKwGE//uTSoVuFfcyjcP6JPos03RWWkWKrNzc0QP/biNHGYmok+iCR5IousuF6nxMm8zk8UEx2NcOELWsYmJpibmSvJ7YQFXGy6EP9NjE8UEbcT/OwRkXEqbGyslGDra/vXM3HpLvyWrqR0vuwYqfScP7iTSdPm892AYXxer9a/8ue8PRjBOjoqCh160UWliL7F99uIo1P6s/xyDJ17duPB38e4HGLGkP7dWTbKhcrfDMAx7i7rdp3j2y5fs2nzRm4HqVgwM+sJmqAXzxnsPpBTp/+iTJnSzAiYQcFCRTLq6yxZ/c6UgkaMXGzn3rd3D35Tp/HiReCbh0IKmmStC3lRJiDwT0Ejtm4PHTaEbzp1zlKCJkNOpV7Ln5tXsXjdTlSmpoijG4Sgqly/Bf17dsTRNn1svRXCbO+6BSzafEDZSSUsXRGREXzZ7lu6dW4fb/V5doNRwzyxK1OLQX27kMvZ8YOnRFiVbu7bzPVIU9SxkcRoVVStWZc82R05umMrecpXp0Aue478+SfBsRoKFs7L/ftBNG/RFBuL/+en+eAOpLMbE9vldOrEMdzdBinxM61bt8R7wsT3Hg+UzoaUqu5kWkEjfjnExESzf98fTBg3gbCwcGmhSdVSkTdnNAL/FDTCDdGkSSMmTXl/LorMaqHJaPMWb/rQEhoayq0rF7lw5To29jmo+FkFnBwcsLe3/VdAcFqNUbg1IsPDuHPzGmfPX8bKzpHKlSuRzdkZG2ur+GDk26c4cCmQKrVqkN3BPlVnMYn3ujo2RrEuCUuUXuzCMrdQrGnCAoWRcCsaExsTQ6w6DnMLc8XqJXLjJHXafFoxTE27CQkawWne7FksWbJMqX7ylIk0a9EqUzJ4m1+mFTTxLwU9ERHh7Nqxgzlz5vIiMEi6nFLz9Mh7MxSBf8bQiJdc9uzZ8PP3pVqN2v96uUlBk/6mV7jLhJvISGWMqbmZwQ+zNNSI4w8FVCtxSsLF9XbRisMRQXHNiWMMZDEcgYQETXDgC/r27s2ly1fJlzcPq1avJlee+PPDMnPJ3ILmlY9X+LVnB8zkhx/W0K59e7nLKTOvaDm2NwQO7t/Hxo0biImJUeI0Dh85rkT8d+jQnhGjRmNi+o8Pj0aNsUnmM8vLJSEJZFYC7xM04ofLT+t/xM9vOlFR0bRp3RJP73FYWaf3k9ZTP0uZXtC8RvTo0UNm+PspOzyGDBuGpeW7p9CmHqWsQRJIXwREcGd0TIySRC4kOIg+vfvw9Olz8ubNzey5sylVuty7v6SloElfEyh7IwkkQeB9gubZ08cMcR/E+QsXlUNpfSZOoPHnXya4fTkzQc4ygkar1fLwwX2uX79G3XoNEInGZJEEsgoBsctn5dLFLFi4WMnp0a5da4aNHIW19f+DS6XLKausBjnOzELgn4JGWGfWr13D9GkziYyMpE6d2oyf6EPu3Hkyy5ATHUeWETSCgvDzxqrVipiRR9FnifUtB/mKgEisde/OHYYMGsy169dxcnJk2LAhtGrb/s2zIAWNXC6SQMYi8I6g0euVY0769enD2bPnsLO1xnfKJGrUbYDpq232GWt0Ke/twQMHGejqqrzTpvr70bBRIyVty/tKus8UnPLhyzskgaxDQOT22LDuRwIC5iAsltWqVWX6zBnYO8Rvo5WCJuusBTnSzEHgbUEjdvUuW7yIlStXK8Kmfbs2DB89Gltbu8wx2GSM4u6d24jsyEZGxjT+4kuKFy+esTMFJ2PM8hJJIMsSEIe4enuO5cDBQ8oJ3EOHuPJVxy7KQy8FTZZdFnLgGZTA24Lm0J/7GDZsJGFhYeTJnYN5CxdRomSpLOeNEG631yWxXV3SQpNBF73stiTwmoDIDHvuzBm8vby5f/8B2Zwd8fL2omGTLxAvR7nLSa4VSSDjEHgtaOLUanwnT2TTpq3Y2dkyfMQwPv+yKRYWcvNLQrMpBU3GWeeyp5JAggTEy2/Prp2M8x6PyggGDR5Ep2+/l4JGrhlJIIMReC1oRLcfPbiPp4cnVap8RveevbPENu3UTJcUNKmhJ++VBP5jAqEhITx7/hy9Tk+27NlwdnZWeiBMsmFhoWzfugVHJ2dq162Hnb29cr6QkfH7A+j+467L5iQBSSAZBERKBhEvIoo4fyssNETZxSieZ+FGliVhAlLQyNUhCWQgAtt/+YV5c+cRExtL95496NKly5vei11Pwv0kTmQ2NTPL9BlEM9C0ya5KAh9MQK/XKYJGlqQJSEGTNCN5hSSQbgj8tGE9/n7+SrZQ14ED6O/i8o++ieC5zJ0KPd1MhuyIJCAJpCsCUtCkq+mQnZEEEifw9llOA9zccB3gmiJkwjUVf/SLFD0pAicvlgQ+EgFxXpY4hDMrHGPwoQhf73JK6twqKWg+lLC8TxJIAwKpETTCJXXi2GGyZctOsRKlpEsqDeZPNikJvE3g5ctgJY9UcFAQ7oOHYW3z/yzfklQ8geDgIK5euQR6KFW6LE7OTgn+IJOCRq4aSSADEfhQQSN+4bx4/pRBbu7ExMTSseM31KxVi9x588lAwww0/7KrGZ+AeBZfBgdx5vQZ1q9dy6XLV5TMt6NGDaNZyzZZLsdMUjN69OhRRo8YqViWJ/j4UKtOHZlYLylo8u+SQEYg8KGCRmQR/mHZQubOX4JaHYetrQ0FCxXiiy+a0KJ5c7LlzJ0Rhi/7KAlkaAIiaP+P33exZfNWrly5TmhoKCLlQvYc2Rg2bChNW7RKMK1/hh54Kjqfpc5ySgUneaskkOEIfKigibfQPGfxwvns3buPwMAg5ZeglZUVOXPm4JsOX/FpxUrkyZcPSwtLzMzMMJJbRDPc+pAdTj8ElF2HajWxsbG8eP6M69eusm3LFi5evkpkRCRxr+JmKlT4BNcBAyhSrLiS6TupOJH0M8L/pidS0Pw3nGUrksB/TuBDBY3oqLDShIeFcffubfbt3cv2X37lybMXyi9CK0tLbGxtsLW1pVixIpQsWZK8+fJTsnhRChQugqmZxX8+VtmgJJDRCIjDkgOfP+bCxUs8uPeAGzducOf2bYKCXyoiRpyWLQ5TtrAwV6yjzZq3oFSZMjg5OWFsbCLFzHsmXAqajPYUyP5KAskkkBpB87oJkawrMiKCG9evcvbMOU6cOMbJE6fRaEVCLyNMTU0wMzPHwsICZycHbO3sFUuOmbkpluYW7+yPKl6yBN926ZpgOvaQly/5YeUKnjx6pCT/M1RxdHJk+GiPBOMNxBg3rlvLhfPnRdZBQzWLuYUF7kOH4ejomODHZ8umnzl5/JiS/NBQRWVkRIdOnahY6bMEq7x75xbLFi9WfvmLAEqDFJWKEiVL0rVHzwTjFqKjowiY5kdoSJhBmnxdSf6CBejT3zXBU6XFelo0bzZ379433ByrVIq46NKjB7lyvd8NK34Y7Px1G4cPHX4z3ujYWOI0GmJjYgkPC1UsoJFR0YgdTOIfYa0RJXeu7DRt3pwqVaoqQsbZyRkTU1MpZBJZOVLQGPSxkpVJAumHgCEEzevRiBdzTHQ0ISEh/HX2NHv/2MvVy1d5+uy5EmcjPhivRYiRkQojlREqI5G27/9bvmvWqsFUf3/s7B3eC+nxo0cMHjSIa1euGlTQ5M2Xm23bf0vwYxcTE4O3pye7du4y6OTZ2dmxet2PFChQMEExNXHCBDb/vEmxiBmqCKE5cfIkmrdsmWCVZ06fxqVvH2Ji1IZqVhljjVq1mDVn9ntZxwe4BvNtp294/OipwdoVFX1a4RMWLl6iiOlXuQbeqV+IhJ5dv+PsuQuGE3BA/vx5mR4QQMlSpd87HuFCmj1zOmtWr33zd9EXwUL5X7EHJz43AsbGRmTPlo2ixYpQv0EDatWug6Ojk7KbSVhGZUmagBQ0STOSV0gCGZLAvr2/KzsjxAe7bfuvaNu+farHIV7EIlgxOiqaoBfPuHL1KvcfPCQsJISXwS8Ji4hAo45VRI5Iy/52+fTTT+jjMkBxVb2viLidObMCuHf3rgEFjYocObLhO21Ggh8F8dFZtmQxx48dNejHzsbWFg8vb/LkyZPgr+qVy5fx5/79CPeDoYoQFn3696dmrdoJVnntymX8/aaijjWsoCn/ySe4Dxn6XtZi7YSGhjBxnDfPn78w1HCVeoqXKM7QESOxtLR6L2shHnx9xnP1+g0DWmggZ46cDHB3p2Chwu8dj7C4bNqwjp3/EMvCeieOJhBixcnRUTmqQKyTEiVKkDd//ngrp5m53MWUwlUiBU0KgcnLJYGMQkCYs8NCQ5Vf/+KF6eAocjIYtogPhXhpC5GjidMQp4lDq9Eo/+j0uncEgrW1NXYOjglaSkQ9wUGBSnCkwVxOKjA1NSNnrtwJfhxEX8WHNiI8Qpx0ZTBA4kgJwVy44xIK3hQ5RaIiI964GQzRuGjLKVt2BO+EihC5gc+foVNcXYYZs3B1iSBx5+zZExyvEI8hL4OJjYkxxFDf1GFhaamcS2ZqavreesV6EuONFu0azK0ojg0xxcnJWXEvvq/Ex6LFP4dvikqluI6EFVPcL/psamKKmbk5xkZG77UwGRRWJq7sj9/3MHjQEOVZ95vmT8NGjRL8ISPz0GTihSCHlvkIKKJAuIJembU/1o6If4qPhMSIaD+pPrztujLUjKRZu2IASYz5Y4w3vtkkWAuXh8E+7G9/q7PYHL9yFyW2rhOb47fvS+rZMNTzkFnrEZx/372TYUNHKNYvv2nTaNCwgRQ0mXXC5bgkAUlAEpAEJIHMSEC4uHds3cQYz/GYmZsxbfp06tStKwVNZpxsOSZJQBKQBCQBSSCzEhCC5tL5M/y8fh3BIaH07OdC+U8qykzBmXXC5bgkAUlAEpAEJIHMSEC4nEQ8XEx0FFqdDnMLS8zNzRN0c8sYmsy4CuSYJAFJQBKQBCSBTELg7Ri+xOKSpKDJJBMuhyEJSAKSgCQgCWRlAlLQZOXZl2PPsAREJtyIiDAcHAy/bTvDQpEdlwQkgSxNQAqaLD39cvAZkcCOX7exY/tvxMbG4OMzgdz5CiS5dTojjlP2WRKQBCSBlBCQgiYltOS1kkAaExC+5PVrVuPnP11J3uUzaTyff9FMCpo0nhfZvCQgCaQ9ASlo0n4OZA8kgWQTEIJm7++7GTFshJJ5t3v3rgx8lUUz2ZXICyUBSUASyBAElBSiye6pFDTJRiUvlATSB4Gb16/S5bsuhIaFU7NmdebOn69sZ5RFEpAEJIHMQiAmKoqDB/bjnC0bhQoXVU5BF0dxJFakoMkssy/HkWUIiHNzfMaN5bedeylUqCBz5s2lWPESWWb8cqCSgCSQ+QncuX2LYUOGKoeeFiiQj0WLF2Fj5yAFTeafejnCrERA7HDasulnJk2cpJxE7Dl2DM1bts5KCORYJQFJIJMTOH70KO5ubkRERNLh61Z4ePlgYmomBU0mn3c5vCxI4NjRw0ocTUREBL169cDVbVAWpCCHLAlIApmRgF6vY/PGDYwbPxELCzPFOlOh0mcYGRlLQZMZJ1yOKWsTEObYQW7u3Lx5i7p1aymn0NomYY7N2sTk6CUBSSCjEBApKbw8xrB9+04KFMjP4qVLyZsvH0YyhiajTKHspySQfAIiqV7A9OmsXbsBBwd7Jk2aSL2GjZJ84JPfgrxSEpAEJIG0IXDuzCmGDx3Ok6fPaFC/LpP9/LG1tU0yPYUMCk6b+ZKtSgKpIqDT6Tj45z7c3QYr9XTo0J6RYzwxMTFJVb0Z4eaY6IgUbOTMCCOSfZQEMh4B4f4xNbMAVfK3VSdnlOrYWGYHzGT16jVKrq2xXp60aNUaY+Ok321S0CSHsLxGEkiHBIKCAunVvTslixele89eFC9VJgtYaPTEREVgam6Z5K+1dDhlskuSQKYhoNWoMTG1MPhzGPj8OaNGDufIkeOULFmS6TNnUKRo0WS1IwVNplleciBZjUBsbCwPHz7A0cEBBwdHjIwTD5jLLHxioyMws7BO1gsus4xZjkMSSG8ENHGxGJuYGfw5PLD/D7y9xhEYGES7dq0Z4+mFhWXy8mxJQZPeVonsjyQgCSRKQAoauUAkgbQn8DEEjUYTh+eYMWz/dYcSMzNrdgBVq9dI9mCloEk2KnmhJCAJpAcCUtCkh1mQfcjqBD6GoBGbHab7+fH7nr0UL14MvxkzyJ49R7JRS0GTbFTyQklAEkgPBKSgSQ+zIPuQ1Ql8DEGj1WgICQ3h+JHDygaHxl80xTgFrnQpaLL6qpTjlwQyGAEpaDLYhMnuZkoCH0PQCFBiB6dWq1EO3zUzM08ROyloUoRLXiwJpH8CeuWFoMXE1DT9d/YDeigFzQdAk7dIAgYm8LEETWq6KQVNaujJeyWB9ERAryc6Jorfd+1SdgU0+aKpwXcgpIfhSkGTHmZB9iGrE5CCJquvADl+SeAjEohTx7J2zQ+sWLGK7NmyM3NWAHnzF8h0okYKGhCxBmq1WjHLi8RmIgGZYpHT6wl68oBnIVGULFEcExNDbOXXo4mLQx0X7waILyplXZmbm6UoxuEjLv9Eq9ZpNMSqYwUe3oxAcDMzwzQLJKP8GNyloPkYVGWdkoAkoBCIiYnmhxXLmTt3gRJQ93WHdri5D8HaxiZTEcrqgiYuOpK9v/3Kb7t/52VEDMam5lSvXpXOXbtjrYpl9vhhHH9qxPyZU8nmYMuLJ4/QmFiRO4fzB60DXVwsBzavZs32A8RqdW/qsLRzZOCgQXxSqtgH1fvf3aTn5tE/mLVwJS81r+UMGJtb8k333nxZu0oWSEhpeNpS0BieqaxREpAEXhEQcTNXLl9kQH9XXgQGYWVlxbTp/tSt3yBTWWmytKDR6/jjp1XM/OEXmjRvTrnihQh6eJu/bz1l4PBhOJnrObBrK0F6B1p+2Rg0MUwfOxynCk3o8227D7LYRIW9ZMbYwdzRONGpTTOMjY2UFWdmYUmZMmVwdLBP58+gluNb1uI9cQGt+vSidPFCytEZRiYmFCpWkny5smOcxKGH6XyAadI9QwiaSxf/Ji42lk8qVjKIqJQxNGmyFGSjksDHIRAdHcX8WQGs/OFHJTC4RPGiLFuxAucU5HL4OD0zXK1ZV9Do0cRG4+HaA3Xh6ozo3x0nawtlV4hwBZlbWGCEnqioKFTGZliYGRP47C5De/amXmdXOrVvjoW5+RtBotXEodXFWyxElmmTBLbHhgQ+ZXivjpT8oiv9unR446JRqYwUgWSkAo1Wp4gCsTtFVCnO+XnH3aXXK+tR6atoz8hIOZvn9TFAcXFxqISo0OvR6fQYm5hgbKRCp9Mq9wlXkahTtKVXqZS/aTVa9KjeaUe44v7530DD0Z/X4OWziOGzZlC/RiVlzMJlJtoxUsW7z2RJGYHUChphUR49YjiXL1/hm44d6Nq9V6rdl1LQpGwO5dWSQLomID4Y4WFh+PtObG2cLwAAIABJREFUYcvWXzAzM6N+g7qM9fLGyTlbuu57cjuXZQWNXk9sVDhj3XvxyLIokzyHUyin0/+x6bRcP7aLEdNWMch3Jo5PTjPWdx737j8hW66cWFlb0XPgUFo0rM7uDWvZuXsvUSoTJT7G2MaJIWM8KFcw178+7k/vXqFz+0709fajfbNG8YJIiACE/tBx47eFzPvlL/LmyMad+w94GRGO1io7cwP8yeHkAHotp//czcqVPxKtMkGv0xKr1tKpz0CaN6yBOuQZrq6DcC5QgLiQQO6/jKWVy0hal7Bh6lR/7j8JUtaxztiCfDmdKFqrMR3qVWGh33gemuRh0pjBWJuboNOoGTd4IHmrN6X7N60wexM/FC9ovH0WM2ruLBrWrvyGmRQyyX3q/n1dagSNEN3jvTzZu3cfGo2WFi2aMWqMB7Z2dh/eISFS9f+P8kpVRfJmSUASSB8ExC/aWzduMGzoEG7fvqu4nga6DaDzd9+n+hdQehhhlhU0gFYdw46V85i2fCMV6n/BhDHDsbe1UUSIThPHrh/nMO/XC/y4agGq6FDWLZrOvF1XmTDanfy5slOocCEijq9h+KLfaf99L2pXr0TIw+t4+fiS60sX5rq0xEiYQV4XvY7bf53g6y59KF2pKvlyZVOsK9mzlaT/wM6YGWmZOdSNLUcu0KT113zdoRWh9y8y2W8+IwIWUat0IcLvnGXgaF8atv2ORnWqQGwk/j6eULAa0zwH8fLhDXr1HUBUnBG9+/enZKkS5MmbhwM/zubHQ/cYO2YwebLbceS3zQSs3IznpKnUr1KOpdN92HU7hpVzppLN1oqIoEv06jaKfmPGU7d6JcWKE1/iBc2YcQEU+Owz8uWOzzzrlLc4A/p+j4VZ5kxv8LGf1Q8XNHr27NqFp8dYIiMjcXZ2ZsGi+ZQsWTrVqSakoPnYsy7rlwTSgIA4uPLs6ZOMGe3Bs2fPKVSoIP5+UyhdvoJBfNVpMKQ3TWZlQYNeR0jgcw7t38HqlRuJs3Cku/sQWtWrSlxsJMumjOVEkBlLAiYhdvasnDKSg8FW+I4dRg4HW2KCHzO4T38sy9Zi5MCe2JiqOLl9JTPWH6Sfty+tq5V9Z30Ia8rJP36l37Bx2NnZY2pqgsrEgs49+tO53RcYqcMZOmAAgRpLvMd7UaRAHu5fPsXosZMZ4TuTT4vk5Ed/b36/Fc10vwmYGhlx+/xBJvnNo16H3rh2ac/dvw/jOsiTKk3aMtilB/Z2try8d4XRo8fSsPtQvmpUDXMTY279dZjhQ8YyatYiKpYuzKGVs/H96RjzVy6gSE471o3qx29PLZjsP5FCeXK+tUTjBc0IDz9wcsLC0lwZY/nqjZnoNQTL9wia2KgIMDHHXIqdBB/1DxE0woJ88/pVPD08uHz5GtbWVowb702DRo2xsEjeAZSJvXukoEnLN7NsWxL4SASE4VWtjmX9j2uYPXuessW3UKEC+E/3p2Spshk6ZiBLCxrh5tFpiYqM5Pr5UyybP5Ng8/wsXzgLfXQw40YMx7JkbbwG90arUTO2byfsK7fCvWdnrCzMuXrqT1wHj6Fi7SaUL52XezfuEqcy49OqNWhSvzZ2NlbvrA0Rk7Jr7VxWHX+Cl3tvHK0tEYEstrb2WFtbEvb8AQNdXCnXoA3ufbpiaW7CmQPb8Q1Yht/s+VhHPmLQwEGY5C3Hl42rcuPaHdR6I4oWL02zZk3I7uzEyW3z8Zi+nrEzF1C3UlmMjVWc2PMzfgs2MHvhAnLnyIaRXs+pPT8x2m8Z81esoGjenLw8t43uI+cycOo8SlmF0aPfMNr0HUqPr5opY/1/iRc0HuPmMWDKJKpVLBO/5dzCCicnByWG5u2i12s59+sGtAU/5bPyxbhw4jianKWoXORtkfSRHtwMVG1KBY14J138+zz+vn5c+PuiEhvVu08vuvXoqRxEaQj3nxQ0GWgBya5KAikl8DI4iFWrVrJ61WqqVauCx1gv8ubLn9Jq0tX1WV3QvJ4MdUwE+7ctZMbyA6z7aR1xwY8YNXwEdTu60LVtE9RRz+jauhNt3cfSrmk9zExNOLpnE6PHz2DE+KmKlUN8VMS2bwcHOywtLP71UdGo1azw7EZIiZYM+L49luZm76yFB1ePMWiIN9+6e9H289qodDHsXjuD5dsvM2veHF5cPc4AlxG0dBnLd23qEKeOw8jEFDs7O6wsLTBSaVnqPYwNZ0NZuTKAfNkdQR/D9tX+rN1xnflLFmBva402NpLFUzzY/ncgK5bMJYeTPXERd+n3bX9qdeyH9vZR1p9+zoLZUymeP5cSPPxPQeM9UcTQzKZhrc/eHadeT2jwUw7s2YdtgcJUrvApobcuo3LOg6kqmoUzZxBdsBZ92zSkYJ6c3L54hlOXrpOvQEmq16iESRbdIZUSQSPEzNXLF/H2GsfVq9eU4PBOnTrQu29fnLPlMJgrXAqadPWqlp2RBAxLQKfV8vz5M7Zt2UKLVq3JkTOnkoQtI5esKmgigp8RoTXG0cEBc1MTwl48ZP30kex7YMGChbMJunOJ0R7e9J80j/rlChH94C9adBnCqCkBNKhcRpn3o7s34TlpNh5+s2lco4KyDDTqGDA2w+TVduy310ZM2ENGde5OXffxtGxQDdN/JOr7e+tcRs3bitecZVQrVRB1WCDzRw7gL10uZs2YzP1zf9K/30jaD/FhcI82StXaODU6jDA1NUYXEcgwN3eCSzdl7oBvsLE0Q6+P5rd1M1m16SILly/G2lzFuQO/4jEugPwVajPLb3y8yNGq8ejTmSDT7IQ9foSLz0SqlS6Fhdm7out1DE1CgkYTp2ZdwDjiHIvz5PlTvvmuC09+W4W+bF3szWLw9w8g0io/Pbt0oojRS+Zu3En58qW5dfEirbsPoE7VTzPy4/TBfU+uoBFi5u7tW/iMG8eZc+cRO9pqVq/K1OnTcXB0MpiYEQORguaDp1PeKAlkDALi11BUZAQWllZKwr2MXrKkoNFrObBuISt3HqfUZ9UoWTAPZw7+ztlLd+nk4k6HZg25eORXJsxYx6zlSyiQzYGIe+dp1ak/9Vq0I3/uPLRq1YLwx1cY4DaCXJ9Up2WDmhjptQTev0rlFt/xabGC7y4NvY4XFw/Ssf9YvujwPcXzxedrUamMKV+rNgUdLVg1cTQ/nQtl0dJp5MvmxMuHNxnk4kb2Ou2YPKgbkU9v4OHuxlPzvHT9po2SpvfFwxsUrliP+jUqE/7kJoMGj6SFyzBa1a2BmRBVei1n//yVsT4BNOnwPSaRzzl18SrBD29Ttm5bvIa7Ki4lsaV75pgBrP/9FLW/bIf3yIFvAqTfHUi8y8lz/Fwaf9eZsiWLiDzHqIyNKVa6HIXz5mDRpKHkqNSchnVr4GRvx/6AsagqNKJmzU+YN3ECUZ+0Z0jTSqycPRld7nLUKF+c8Ht/cSbMgZG9O2X0R+qD+p9cQSPc3UsXzmfpshWo1XGUKlmcsd7elC3/icHfR1LQfNBUypskAUkgrQhkTUGj58nty6xZuYYnEbGKhcbUyo4vmzWldKmSONpYcOHAL+w49wR3l57KB18dGcaKeQHceBqGc8FS9Ov5LZYqDRcvXGTblk3EqkwxRU/uQqVp36ENuZ0d3plScchp4PVzTJq3SkmiJyw4wpOjMremr2t/8tiZsmbZUoJtC9P7q2bYWJkT+PAui5aupFzjVrSsVRGRZfjejctsXrOaEL0FevRYO+ak8/ffkj+nE8GP7rBi9Traf9uVooUKKvWLEhb0jO0bV3H62hNy5ctP+ZJ5WDZtHvW7D6PPd80xMzFR3BaLfUaw+fgNJvlOpULZ4v+yIMXXpufBuaMsXv4jUSaWynENSmI9M3MaNWtNjYpluHvxNNt27yM0KIQeg4dzc10ARhUa0aBhVeZPmkjMp+1xa1yW6d7DeaZyokhuZzQaNbnKVOO7Fg3T6lFI03ZTImgO/LmPST6TsLGxwWeiD2XKlcfcPGUnaSdnsFLQJIeSvEYSkATSDYEsKWheBQNHREQQExMbf36TmRlWllaYmpmi0utQx0QTGatRdgmJXTzC3RgZEU6sOg4Tcwtsra2VLdkadSyRUVHEabTKnArLndht8s/gWJHNTrhjQsMjFPHwuqiMjLGztcXUxAjRH4xMsLSywsRIhThPLDomFmMTM6ytLJRbRLK9yNBQ5dgEEfhpYmb+/77EqYmKicHCPF5oxOsPLaGBT4jWmSoWIWOVhiPb17Lo56OMD5hNhSK5Uem0nNm7iakL1tG+txutG9VSYnISKnGxMUSGhxP3/5MPFEaWVtaKOHz59AlqtBxfMg5tnd7YnP0Vk4pC0FRj4aQJPMtZB4/vG7Nipg8h9qXo9nVTTIwgLg7yvLOjKt08Jh+9I8kVNMLlFBUVydnTp5RcWCVLlTa4ZebN2pR5aD76vMsGJIF0TSAsNJQLF85TsWJFrG1s03VfReeyqqBJ9xNjqA7GRbF33Ry2nw8kl7MTcTEhXL12kxqft6dvt2+UINx7l8/g4+1NripfMsylBw7/2J2Vkq6InVy/b/gBnYMzFw8cp2XfvoSc2I1p8UpU/OxTju7Yyp/n79P269aYhD/jl90HKFupEqZGOnLmKsynn5ZJSXOZ5trkCprXAxaiWBHNHzErs7TQZJrlJQciCaScgHjJ7Nq+jQULl9CwYT36ubphaZn6fBAp70ny75CCJvmsMuSV2jiePLrPsUOHOHH+MgWKFKdy5c+U08Md7GzRaTWcP7yHA5cf0a5ta/KJbd2p2GkkLFmhIcHEqjUYm5rhYG9HXHSU8u9mlhbEREYSHhmpWLKszM2JCA8lKjZOCWa1tbNP1DKUIfkns9MpFTTJrDZVl0lBkyp88mZJIGMTePL4Ie4D3bl27bri065Zszrdunen/CefKufcpMciBU16nBXD9kkIbZFHSR2rxtjEVHFHCQEhXFZKjqXYWOK0OiwszBM8gyolPRLxQq+9UUIciSMdEIHDr9oTbYp/V/7/W9e+/m8paSuzXPu2oBHz8eD+PXLlzp2mVl4paDLL6pLjkAQ+gEBkRASnTh7Hd/IUHjx8pBwYWLBgAVq1aU2nTp2wES6oj2gi/oAuS5fTh0CT90gCBiagCBpjU8LDw9i4fh1/7N1Ho8aN6NazJyYmaZMaQgoaA0+yrE4SyEgExC/hmOhorl65zNIlSzh06IjyC1gEiX722WdK8qtqNWorAaiGyORpCDbSQmMIirIOSSB1BGKiIjn/1zl+/HEdZ06fITwigjx5cuM1zouateqkrvIPvFsKmg8EJ2+TBDITAY1GQ+CLZ6xe9QPbt28nMDBY2YlgZ2dLm9Yt+eqbjuQvUDBVsQqG4iUFjaFIynokgQ8nsGnjeubNW0BgYJCScdrKypLmzZrSvWdPChYu8uEVp+JOKWhSAU/eKglkJgLipSTOCDp98gTr167hyLFTirXG0tKC2rVr4j3BB0dHpzQfshQ0aT4FsgOSAJN8xrNh/UbFclujRjVatW5D9Ro1sHdwNGj235SgloImJbTktZJAJifwOuAyJOQlWzdvYsvWXwh8EcjnnzfC03scVlbWaUxAT2x0JKbmlunGBZbGQGTzksBHJBAfCP1u0SMsun5TJnPgwEEaNGhAl+7dcXbOphyvkZodZ6kdiBQ0qSUo75cEMiEBEVsTGxPDi+fP+HPf75T/tAKfVPgszX55/R+xnujIcCVLqyySgCTwcQmI4F4LK7t3RI1Itnjq2AEiIqMoUqw0ufPmw8LCIk2FzGsKUtB83PUga5cEMiwBYa0Rbqi4OLWya0HE1CQUGHzvzi1CQ0PJniMnjo6OmJl/vBec6JdyKJAskoAkkGoCyuP06nn69/P9bwuN2LYeEhKMuYUlZmZiO33C74VUdy6FFUhBk0Jg8nJJQBJ4l4Cw5swNmMbWbTuws7PD3t6Bz5vUo0Xrdlha2Sh5QoyMjSU2SUASSEcExOGeGo2W2NhoDuzdQ/0mX8anaUhGif9RITI6/NMdlYybP+IlUtB8RLiyakkgKxB4/vQJbgNcuXjpCkZGxoolR/xys7W1oWDBguTMmUM5wyVbNify5c1L3QYNMTV9dW7PPwAJi9CjRw+VU3mTKmampuTJmyfBnBdCaD179ozIyMikqlLM5WLLqYVFwlmSw8NCefb8RZJ1iVd8tmzZsHd497DHt2+Mjo7myePH6F59GBKr1NrKitx58iR4SWxsLA8fPEiWzcrK0pLceXKjUhm9tz7xoXr8+BHR0TFJjlPwF/0ScRMJlcDAF4SEhCZZl+BfIH9+TBKpS1QSERHO82fPE+Um0usrc2lplWC7wm1y7979JJkZGxuRK1cuLBOpK57ZY8ScJlacnZxwdEo8qF7U9eL5c8LDw5Psm72dHdlz5Ei0TbFm79+7S1RkFCFhYcrZXqEhIQS/DCEoMJDHj5/w6OEjNFoN3uO8qFs/Yx+0KQVNko+avEASkAQSIyDy2Fy5fJFDBw/w94UL/P33JcIjohQzthA3wiQtPlimpiZ8Ur4s/jNnKZac95UXL54xZuRobt26nSh0UV/58mXxHj8BB0fH914rPgrT/Pw4dPBQkhMo8u74+ftSqkz59/7qFJljd/76C9OmByRZl4mpCRPGe1G1Ru0E4wrOnTmNp4dnsoRDgwZ1GOXhlaBwuHr1KoPd3BHCJqlSt24tRowek2Bwd0xMNBMnTODY0ePKDrfESsUK5RntOZZs2d//UY2Li2P5kkVs2PBzovWIX/m1alRmxJix2Ni+f12ICoRAPXb0CFMmT1E+0AmVwoULMMXXlxy5EhCBej1BL57QuXNXRB8TK/ny5cF7vDdFi5VM8DK1Wo2XhwenTp1OkJlYrwPd+tO67deJtif6s2TRQrZs2Yr21eGh77tBMGvRsjmDhgxN0EoieF26cB5vb2+CgoLRanUKQ3HUg1anVf6/CO4V/4gfIN27d8F9yLCkllC6/rsUNOl6emTnJIGMQECvfEyjo6JRx8URGxPNpQvnOHLkGFeuXOH+g4dEREQpL94GDeoyeap/goLm9q0bDHYfxPXrNxMduJmZKV26fMsAt8GYW7z/lOVLF//G28ubSxcvJQlRWJMWLpxHxc+qonrPuUBxajU+47z4edPWJD/02bM5sfXXX5Ut7u+rSxyGuGzJQubPX0RsbOLBzYJZv7696Oc6EDNz83+NQ4iOQwf+xN19sBLEnZgIER9VNzcXuvbolaAlSlgZZvpPZe26jUr8VEJFHEPQu8f39HZ1S1AciTUxa8Z0VqxYlSh/cazB/AXzqFKteoKWO1GB+PDu2fUbXmPHJWp169jpa4YMG4FtIuIoIiyMJo0bERISlmjfypUrw4yZAeQvWDDB6wQzl759OHny9Dunkr99g3C7urkPoFff/om6aYSgWbRgHkuXLE9UoIp1Ua1aZXynTiVn7rzv7ZtwKV2/dhXX/q6KJSYhYWRrY03zZk3o2bsveQsUTvJZSc8XSEGTnmdH9k0SyIAEhDVDfMxEThth8r544S8uXr6GRqOjWrUq1KlXXzk36n3l/r07zJk1h4cPHyUuaMzNaN26BS1bt0vQcvH3hfMsW7qMZ0+fJUnR2taGUaOGK7/E3xcXEBsbw5xZAZw5cy7JeGRnZ0d8/f0TjEcQQdZr1/zA3t/3KTEMiRXRl+49utKgURPF2vXvoufs2bMEzAhQgrcT81OIs7n69ulJzTp1FavZ+4o4P+mn9evYuXNPooJGxER1+Ko1zVq1TVCECMvF+rU/svO3XUnOpYfnGIqXKJXox15YAjf9tJ5du/eiidMkWGez5k3p0LFTgmtM3BgVFcVgdzfCQsMT7VvefLlxdXWlcNHiCV4njg+ZMM5bOTpEr3u/VUsI21o1q9Onv0uiLrp4ZmvYu3cfcYm5XVXg5OSkWFUqV62unDv1zyKsMTevX2XxokWKtcfSykoJ5H17fYs1Ub5MSarXrIVTtuxpdmRBkg9oMi+QgiaZoORlkoAkkHICrw8ZVNwhejAzN8M8kR1QMTExim8/Jgn3ibA2ODjYKwHICeW9iI6OUkztyXHFCItD7ty5Xn0E//1xENaB0NCQZMWDmJqYJBpbIiwfIhYkOCg4WTE0Ih5HuOgSCsAUFoKnT58maB14PWvi/hzZs2Nja/PeD6C4TvRNxFiEhIYmau0RhJycHLGzt1fipt5XRF0hoq6QkEQXjpi/nDmyY2Ut+pVw0cTFERQcRGRkVKJ9c3BwQPwj5jShIiwhjx89VmJHEisiTsg5m3Oi+ZfEOEU8VKw6cWubjY21kqvl/cI0vhfieQkODiI8PCLJ+RRWHydnpwQtUcJaJ9ZGyMtgjFRGCFdo/IGz/1/fYk0IC5nYdp1QXFXKn/q0u0M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IEUCho9sZFhRGqMcbCzwUhloF5k1mr0WmKio4mO0WPnaItxKnhp1VGERMRh52CPqdF/A0yn1RAbG0W0xhRHO0sS6r5epyUsJBRja3tszI3/m86JVvQ6oqMiiIpWozI1x9bGBtPUQP7vep7hW9LFqYlTmWBu8t8sRq0mDr2RCSZp+NLR6zTK8xyrNsXe0SLB50FZmuLZUccSqzHG1tYCQ1LS63XEqdXEarTYWlsnuJbEc6lWxxITZ4SdbeL9zfAL8r8egF5HbFQ0JlbWqXqvJ6/bGtRqMDMzSd7lWfgq1f1jP+l9F+0gKhEIDp28mfl5IdBHs3lMZ0aeKcShLdPJZW3Ix9TAs6DT8OLhDc6eOMKB58UY61ofy4Sa0Eayzc+Xrdcf/uMKM3KVKELFzxrR4vPKWKWoiy/51XsGi/dv5q/bVTlwbQVFEn73JFnz7b3TqOVyiE1Ht1EzW5KXp/qCuJAHLF0yhy1rN3E8/yAe/jIQuwRqjQm6zrd1W5LPczszOxU36Ms7sYEc37mcB+ocRN0+zNT526ncaQDLx/VN049eqsFngAo0T08xb8kRGvfpy5UNLuw4l3ini3WbiEe9vKkaWfCd0yxasJ/mQ9z5JJdZqur6oJujHjJ/SgAbd20hKHokBy/2wTGBil7e3MGA0Yt4cP8+6kZ+HJj8OeYf1Oj7bopghWdP1h95gKZADXYtn/ZeER8bepdJY4dw6Mx9dDVH8rv/16QBNYONOr1VdGrLcg6EFKR9pUAmBOxKvHv5P2W2x0BsP/jHXjBr/Vdi06I/rUon+BVLb4jSpD/xFprwO7i2Lsv8/fU49XInlR3i+6LXxPDrrN4MVrlza0jlNOnghzZ69+wvbNt/lo2zJnP00xmE/jogwQ/y6zaenlpNjWbdyVl9Kn9sGYo1kfy9cym9XDy5V6AX+7f7UtoxJa8mPR7f1mbu7hKcu5cCQaON5kWkKdnt0l6RT+1kxaiwKYTucE+S34fOVcrv0xN2Zi7tXHax+o/t5LZR8fTANEZtNGbpnEEpEjSB5zZRrYYbo/84Ta9aud90RR8TRpjKDvuUTHfKB5Lh7oh+8jfu/VbTd4UfnznFdz/ixhrqlPieCz5H0XrW+D9DrZqjy13xut+BnT5NUv9BffoHrsN3MHaBP7ls/kNL4KsRaWNC6fhFJc4EjeRMIoIm/uUZS6dq+am3/Dn9yqVimuPu4F6vMere61jQveqrisJY37EEP+VZzE8zWiXyA0LNxJZOvPz2JNM7llHund+vFtOiXLnwQ2dsUtGtLHurTs2dbZNYcq06k0c1jZ9qbQzzOzRmwMGHbDtyjlYl/i911WG3GT1qHD19l1DGLhUvk7DrDG/ajVoBP9OmSp4siz+pgb9xOS1yq0a/OU7vCBrl5pjrjJt0k9E+zQz4KyOpbhnu77P6VWDQo17JEjTqZ39TpUZdLMt6xguaV3ri2LIB1Ow9n299NrLG46sUdE7Pir4tGLQpR4oEzZOjC5jwpD0L2udIQVsf59Ilg6rT50andCZootjYsT4+TxtxYM8UnFLx01Md/oyTx65QqEoN8r0RqxpOLlxFVMee1H8l7j8O3YxW6xOmdu9KQdcVdKz8tsXlFF+oqrL3H4JGGZ3mIesWX6G9iwEEDXDhZ1++WW7Hn7+4kPO/1vtxEXRrU5eD9/olKWj0j7ZQrtVGdp9aR77UGLJ10Vw5fQZ93vKUyWuvINUFXaJm6Zo0XXUO76ZFEl5EQQepV96VkQcO0Kx4vPp8cPU4d+IKUqskJyisAAAgAElEQVR8bv57SZjR1vu/+3vn8EKa+AdxcP0Y8li+dsLHsb1HW1r+evFfgkbUcOX4EazKV6agdSoEDRD79Czf913MuA0LKWOR8Vl+jBEkLWg+Rqv/YZ3zB1TF9V6XVAma4DM/4Fy5K5W6+nBmpWcKeq9nVb+WuP2cPdmCRhN8i1Ed2/G87+/8IAXN+1mrg/BuUJdt5p34c7cnDqYpmJKkLtXF8ejyEXqtOscm/8EpdDMmVXlG/ruWyyvcabVYzeE/FpHL6u2IqkQEjaGHHHGT3sVKU2jeOTzap8b08QEdS7ag0XF9fj26nG7J8eUjPqChxG95fOoHPmkwjS03L1AnV0LX6nn06xCqed/i6P4tFLCX8iXVE6ELZWSrz7Ef+Rtj6ji/VV3igibV7b6uQK9htWtLFln2Y7dfa6zllP4LbaKCRnf/F+5YtaLoq5gNdehT9m/dwG/nLuE5eTHZXweVxIVz8Md5TFuznUc2xfEe40WrqoWVxp6dWsX3fWcRCLTzXIFnu08JOTSVhu4blL93mLiOUc1K8vT6GX7b8ANP8tVnYDVT3IfOx6HlUCb1a4SVEYRc3MWEqQs4eCmCRl1cGe/eFgtV0lG2hhA0FzePoXz7qXT22sKP41u9AzEu/AWr509i7YbjWJVvwMixI6lV7PXP+vcLmtA7J/Cb7MfOM08oWbMJg4cOp2phG+4f/5nu3w/k0M2n2BYuT0EHEzoE/MGoanpO7tnOoh/O03/J9DcuQeUX1+nfmOw/ixOPNNRv7cLw/q3IbRP/hQ97fJnNP63g/LVGTJ7fiCOLffBaeozWIyYxvH3VN0HdkfdPMXGUNyd1hRgxZgwmUXE0qh4/f/+30Lhwf910RizeSYm2Yxjv8gX2yi9kDc8uH2HDihVcqDuWpS2Loo4I4uThbWz8/SZDfcYTcfQHRo6Yh+Pn3Zjo7UbBpNzAwefwHTeFjYdvUqbJd4weOYSyr9wb9/YOp+3w3Ty5cYNQlSPFi+Uib8VGrJs/FXuLf/8U1sVFsWX+aKb+dIkeXnNpWVKDhV0xnB3NiHx2myMHD7D1mDUTZnTESXufsV9348ejp3mhsaNkxc+Ys3wNtfLbKiyig26wfO5MNm37C/uabZg2eQRFEwoserVKbh79iZmzZnH2mS1tRsxhZLNioA7n7zNH+f2PnTToNpmK+Sx4dm4bo3yWU6TLVMa2iXcPvC4vbp9goZ8/u04GUvZrN/yGtcPeSMPdS8f5Y9dRCrbtRpMithxZPZk1NwoxY3xPLLUv+fOnpSxdv5MrT8Np4eLP+B71lSp1ceH8ffIQm3cdpmnfEVTPF79er/+xlJG77Vnu9/W/4kN0EU/p/EUtHrRZzYHhNXnXOPJ+QaMJD+dmRCSlcif41f2Ad72WYxMr0uXMl9zY4pfw/ZGPWDnDl4W/HsM2dyV6jPahU/WcyvWhT2+wb9taDmkqMKPfFxxYN4tJ83ZR1WUK476v/s7Yop9cJsDXk1//VtF1lA+HZ33HkaQsNNrHjMuVjzD/E4wudYV+4xdjXvIbpo7vT/74h4aQeycZOXQiNYYvolu1V67O57to23sv87dNQ/wXTWQw504e5I+T52jffSTFc8S/cA/Mc+XLrSV5tMcNp7dfgTFB/LLYn4CNp2jk4kPezUOYb+PC/hVdsFRHcu38MfbuPkf5/oOon82U2LCHHNm9mz+PWDE4oBOO2ij2/eDLjHVXGL1iGbXyvlrc+jhuHNrE3GVrOfT3Q8o160/A+N44JeODqg5/yNa5ASzbtQ/jAo3xmzqOcrktCH92mz/37+GCSUU8vhZuykh2zPFiwvZQZq9cSLXcb60wXQTHt65g1ryN3NcXwWuOP1+UzUFcyCNOHNzPxoMqPKZ9S87ou3gNmcKnwxfRvgjEPDnH/LkL2L7zNMaFazJi8mSalBRj0hH57A67d21j/d8FWDrtq3h3uuY5Swb0wb7PHDpUyv+vtRV5dCp5eu/jr1PbKWz19q+ohAXNs9/3om7SmH/X9gFLH7j9mzflum5g58lT1Csc/16S5f8EEhY0mgiOT/8G4647qKK8j8L4fbYf42cs5km2chz6cx95FCdsKAv7d2ZLHlfWj2iG6eN9tGzSnqMRRWnZqApuUxdQ0+YIbR1rk2fxERb1rqm0HnhhC8VrfkPnhSeY107F7LEz8JuxmuwtOtLIEZ7qjMlbtwfevRpyaVcAPz8tzajOX2ATc+l/7Z11WNVJ38Y/dqyt2N2JgoA0CEpjAQIKipigoqgYICoItiAKLKiIWJjYAgrSIbbYiJ2YhHS81zkHFZV112f3ed69ds9cl394mF/MPfObuef+xjDbyIgzjcZxdvsC2tb/8Vf1ZwhNreIs0i9FMn+OE+m15Ni191cGtPqyGuc8icJ1UwRmMx0Z0KKYME9bbPzvERAewZBugsH2LaEp4815P4Zb+eJ2JB7V1vl4mCix7o0sV2N20rKO4CN+yfBerWjo9qpcoSkiZd8etgS5sjW0LVGvY1AXEMziHBL9ZhPwuD8bls+gdt4TApea4nOhK/4HtiLf6Cm+bt6s3OxHsx5uOFh+4FjsAwqeXuDktTJ2p6Zi0q4mpUUvmTnDnSluHvRvUsqFwx54pnVn9yIjYT8JCc1dA45a1mV/6CVyXqZxNOIiS/ZcxMWsP9n3Yljt58cW3730/PU6MeP7cP7wKvw2bWPbQwkOrDXlbEgSWaWFxEWE8q6dGcmnf6VPs8rl13uRAUxwTWXjHjek2tTi9CZ7LBxiWR16hAmDy+X1n1Bobm43Y3qMFMe3OpB5MQAbh+P4HD9Mo6xr+AXvYY/nOmrOv8i52dKixf7NOQa30UHvyDkW6HYX/lZW9JGE3esIvPCRSQ5OyDZ5xcy2UhQtOc3WuUqVzie5GTdYv3IDWe30cJoxnNcx6xho6M/J+2k0jZnLil1RHEnsxeUn2/kY6cn6/Vd4nXae8BpmvExwR7D0FudkcNh7OdHvOzLPaQ6t3kQh09OQqWduMLLqaZau2c6+a9nEJEZTPfUIrkucyJZaRoj7YBZbjud8z0nsXTaetnVzcR2txYqwp2gZDqa7bGdeJcdzJiSJkQGJ+FlLCdtwfpcrRtNc2HmrBLVvZuD36WGoy+syJuQ9C1S+tcNVRmhKeX7hLBcLOmCo1O0vnXNzo5xoNiqO009jUa7E0T7/dSrWQzRo5xTDCpPexHnPRGv2TjbG3WbqoGaEbJmDk80mGlgvwUWxPiHRl3n98i5nom/jcPQWS/TaCv1SPt4PZ+ryUKa7rEChTRWS97ozxdmfnLruPzQ55aeH06qrLlNXrOHxpYtQlknS2UhaTwwkZq0Z767HEXomEceVKxhoc4AQFx0hico4OA6Vvc25c3Cd4H8cmLuBwJM7uFVLm4SkAFoL+UwpnpNlSRgUxMFJnxSqMl6nRrDaOxylKbMxHNCE8HUTcHAPRS7gMoEmXUg64kHQxs3setudtJTDtC5+ylrXAPYd9qXKlFASprZim5sr8Q/fcCnqOPJu8WybMghKMwmYb4FbYif2BrswqEMjTq00w2DJEVR1hiGlORP32arfK5ml+dwO38yakEcY2zuj07UMv3ESxPYIZsc8ZYL8XfFeuxcD7zicNKrh6erO1cfvOH7qDGN9k9gyUUYYRfYhLRr31UG005/BJMOBpAZMZfjxttzeMxGfjd6E79jMxwmHiJ7UiqOblrI8OI3VkSm0TljJRIe92AQewHZod15d2ckQqckUK2mjPLAdhTl5PLkQTfS1UiIf3Wdw+2qQex8HNU1eDXNlh7Pl12O27CMHrfrg9EKFSyd38EuNikyyckJTkv+WzdY70NpjT5e/6AsovHOE5n2tmBUci4ux5F9013/Obb4hNFdp1qKJKCy4rIS87ExO38svJzRASRbeOhp4vm/whdDc2krzfn4EvYpHt6nAsFfGwZlGTNj/lKSbKfQVKnO3mVKlF1UqEJq8+5G0HaCHmW8yPhZSUPqQBdU6cWnWJk6sn06tT+G3WcnMNHRj4YmjtCknL0nrZqLs4Muy0/dwHipSEn6r/CeE5tbzUpo2+QVKi8ltpk/wLkdUenaifu0Ku4aSbPxHaZEz/wxzlOqJQjhLzmNYfRBnbQ7x1ncktb8jNPkcMtFmzt0S4uPjEWz8Xx2zoeWY80Q9jkW9iWDG+pbQiFqWutMOhXFXOVFOaF5e2stAdXcCr11Bq6OI1JXkvsVYrSdX6rlwPtKWprkvGKKuxPOaFoSdcqR9w9qUFsSjVUeFxjsectCyA4UPdjHA7Cxx57Yh6KqygnfsinyKpZ7oYxESmrOSXIjwRLr5L5S+u4xh04FUnbOZE+snCetkP09EU0GJOq4iQiMoGcen08I6kX0xYYzs0ZwaVUuJ2zIR1WkHcNwai7v1wEq6LI0J/UahsjcW6z7ljnUlWfiNboj9o8mkX9iM0B3uJwjNkXnVcP+4kfO/ThdoLIR6+aM4fXa5unQHk04jGBV1GfOOIqP0i7OudDb+lZMX0tHoLNoR3z2xAiO/bI4eXE5nwRh4fx2tDnL02XwOT7N+lbTjNavMdXk/bAvuZlJUrwI3j7siN+oqie8OIVkfTjiYMi53HEkj7hPwTp3lo/oQv9GMIVFSZJ5YJNwxhq0aj8szbU57mFG/RlXy7xyjaf8xbEu8j6m0BDeDxzBsdQ+CHHtRR2sEfarnkF+1JonOA7GKl+ROzH4aCVWrUk7MNMXiwEUSb9ynt6CjS9+xVLcpiSrHObPYQNiG0uJcwhbOobOrHz2/Cel7GO6OrM5aPG59wLLnt00WEZrT9ZvSqt4nh6YyinJrsWDHGeYN+2sJDU/20KP9eMxjclim+j0xfhDpjbLWTLxvlzGyG3y8cxIJyeGMWxWNn72yYJlkw9DGbKo9h/jdbrSoX4e8ZxcZpKxJS6XtnNw9glq5D7DpLs0vPkmsGy5qcEneW0yH9ufShyU/JDTXDy2mn8kW9iVfZpRMK6pTTMz6Uaiva8K9VwE0ycijJDMFOWVdFD0vsXNMX6qQzc7hEoT3Pcgud1F/UJiJo4E6YUobOLdUDZEmcAPz9uYYJ8Rj1E6koGTeOoGy6hzcIhIY3l9C+Nv9EytQMDzKzhfJaLUUzE5FxLr0Yv51K2L3LaZmVcEUX4TlkEHIr4+j3qlAuo4bj0K719j1lKSqUyKbxkny9rQDbS2iCLkeg25zEXt8FDaPjsbbCEq8wzhJ0fO+LY+StqAw9gT74w6g3EYwJl6ySrYDD83D8JszGHKvYN7dlDGR0RSe3kCvUY50Kb1Dh/6DGeWXgu/oPhQ/T8RQyhDTgxexUukofETsBhOsr2twd6sNVSnEebgkHVyj6f0iFRktTfKys6lbJ5NRA7qSZx1P+Fy58rDqW1hU6UPD7RfwGS/avKRHrKKf3iICz7/HtL+IpOe8ukfkjQyGa4g23p/Lx0dY95EjVcqCuAPrqbgUCLAV+tAEhdG4aTNql6cyKCst4sMbS64Xe/xlhIZ3KWg1laeu826OuJpXiv2/+cffVmiKskneaEa1sZ8UGgFMuezV08Qpo84XQpPqTwNJf3a/TMSwhYjQRMwby7CtEURcf4ZiW8Fn+AcIDY9YXKUjNxZt4fAK0UIpKK/CF9N7YjCmRiP5SuUDFIdPZ5TKX09oRE7Bszi4ZBgTV8WzdH8CzsZfL1xFHx6jrS5HbSkL0QJRsdTTZMkyXRpUotBkXDlB0NUGzLBQI//ZTU742zFuxXtOZcShK7ThVU5o0o4vR3FYBAfKCc3RFRYYOzXiZqE33T6pn6VF+FvpMjfsLmcu3EGh6QeGqKuQ3WQ5Z8PNEU1Hr7GSbs6HWfc5Mr4TJYV30e8pzaPOo5hhPQ6jEYNpWfeL6vW9U/AzXKu0JdluPae85gjvmPv6Bloqfam26AuheX1iBs3tbnDrWjg9Py1yb8+j0mwQdeZu5vS6L338Cbqc6GVImJ8m6lYk8o2+KGEZ4Y500Qlg7ZUnTOtf86cIzdMYD5SGeTNsdSCrJ6tRoWlkJ69mgE0yickHaSEMqSzl5DIzxu1sw5WbnrSrBSWvzzFiyGgMfeKZotyOwvfp/LrCkePZmuzwnELrb81nZUWkeNtgtCWP+LggOtQv5f75UJycfVBbso1pym2FzbU16E/Z6PX0rl6KzRgtqvMaF+W2XB95kgNzh5BzcwfqZv74nIlgUIs6fHxyEZcFTjwdsBD/uerUL8th5QhNTvWfzpLRmgzt/8lJ9y2+A3qzrctokg5sEm5OyorfY6c9iJh60zm7fxafxLFtM9syMW8ZJVsnCRWJnEcX8TpXl0Wje30XOXN+y3jkptzjTEYCQ75bwypTaEq4H3mQS9WkMVb/iwlNXhRKdTXodOAlu4xFZqSKJe/tA7x2pWA5zRSJvOfEH/VHd5IbFk5RBCxTFarN3oYN2dHBhxRvW9GlWQ+RHaRMg34bObV/FG+SttBdfSrB1/IY1qOcNP1BH5ots/TZVGchKatU+OS7eWfvTHp61+J1/DoEAmvqERfUTfay+95VdDrUpOBZAoPaq2Aaeo9FWiIlMu/tDXSVDBi1+wZ2A0UMMydhBX1nxBMTe5QO9QUffi5OBho8Gh3E9nE9ys1lReybK8u020Y8PumMUCvOeYB1T1mK5x8nyE5B2L/F76JRVPVk8SoNqjYxxECxM/k3guiqshLPuFhM+jTnmv8g+vu35E3iIZoKV/EyAu21mRlWk4SYQ/RvXonSWvICu8HaMPcoG4d3goJ37F65iDUX6nMwyJ1uTWvxOtqNvpPDcJ42khaalhgPaM6DSA+k9T3YfvUuI3rUxc9+KGueWXI5eBwNygpIObSKRd6XcdwWyJBuAhn/JErq7tg62iCrP4buTUXzVlFeHGpNVRkWWcxCBdF3/SxsBYPMAlkVHo9FuYnvfeoe2slaMvvkfdw0Owjr3Tm+kVzJiUh1+NqcU5KRSncpVTqoryBsp42QEH4plSs0xTnPWGkUzJjweX8doSm6w7SaPbls58c5r6nfjf1/+w8/9qF5spe0Gmb0+GwCr4TQ8IRxfdvDoofsGCsYFGXsnz6CabfUuX3GnubCMfafE5obQWoY+NQhMfIkrX7HvFRZZ/4nCs3nKKfcu4xt3Z9jXXRJvRqCaI8gKrmvrzNEuR+mgdnMUvytAMjKfWjy39/BdbwFF9qbsVTuLsrjL/w0ofGeLstM337cyN1G78+Laglh00ejuyeJfQmpjO5Q+LuERtCWFxcOYqxnQuKbKjSQkCYw/DijBojs+n8poeERTlU6EjbFg4v+9t9111W/Pgxw+oWItGg0hWqVqHy8uZV+fSajeywDH0OJnyI0lBYQ4mSA2ZZ0dsUkMrrPp8Gcz9Hp3Vnzxpbo4IUiVbK0GJsRMhyT8+HxYiWqUcJ5H11G+udy9uRBnkT4MsPtEBPX7sR+pHSlCbVKcl5iqKnAO6MdHDGphZ/bEg6860vQJhdk2n6yjzxAr1N/7jYxJyzan66CufPBMXr2m4lDbAITpRsQZCyNd6EpxwKnEunrwoRdL9kT5I2xfCehGlic/ZLhg/vTXHUl61Zb07SCST/j+Ay6TUkhKOEsI1pms91hFK43BhAd9SvtKyjlBxerYnJOm/dnnBDsT6PC96OgYUztSjI3RnsYMHju+58gNJD/7h1X379nUJe/SnD/NCKSGVxFgTa/QWhEtbI5tmouC6NLWD5JGYuxkxmz6OwfJjQ3/BegOG0Nh9OK0O1arsz+IUJTwBR1SdR33WGMiLsKS6SbAovfTyVpvZXw/wEzBzDp6QQ+Hp4lNNecC5yF4sSNnH1U9tnc9zJhAzIWl4l8EEQP4VUFhDpI45pmQcTBRaIozGtetLZK4ualvcI+FJZHJxnQyYDe60+zx36o8Ke3N47SV9mIDbFZmPYTfVuZp+xpZL6N0S6R7JktU2G855MQG0WHRtXgRRhyvaxQ25rAylFtuLZ3HoaOV9geG8fQioOpwtecHbWchrbxXI/eTU7ybqxt1zBk6Q48J2sicnssItLFAN1Vj1iy7wiLh4kUsBPLzRm1rzsPrrvQhisMbamPYXga+gVncXV2IKOHHTs8piEhkDyBZyFTkJudgmdELKO7f3FmKyspwF5fkj01JnFl3xzqPAhFXd8SubmheM+U/xytm5sWRgtJQyZvv4iHqSTFj86w9Hx33I0F69jXJf/ZeXrJaNJJY/UfJjSCO9zcHkgtqwl/HaHhAfOqdCZOTGi+6yPBDz8Z5VQZoYEn8TsY7hjBEJX2VKlVk9zc6oyfvQCZlp92+v85oXl8bBKdJ6dwMiEG7a4VU1kV8+RJBu3a/Tgm/08RmuqQdecgQzQs+CizhrP77BCKUIKp5V06WmrSoLOL8DWG1P68UJTyIOkKEgrS1PtWoalbyIVtbtj7X2O2rzdGMm15c9IOCYOEnyY0+5aMZOzy8xxPf4Bu50+rmYjQmIY8JeZqAgN+ef2HCI2gPSUF74k/uYeNa1Zz+mUXTp2PQkXiv0FouvFiZQjbFpbL6hWGZcaxabQYHorPpWvYSolCVAVFRGhWsvZROkbtf87kJJq505lvNITgRtO5eXCeaMeaeReDXgo0cw5lu42ckCSUFN1Dr5cCBgeeMlNKIM9k4ak9mNX3muO8zJoBkpL079NVlA25FCpLAJL94hya8vI0NlzJJD1Z+vXpR7f2ElSr4MCel7KStto7WJN0jok9BRNxCVe3TmLo2nTiEiLpUfMpQ6UVedpsOI6zh9FzQG+kundEqGSXP/dD+nFUpOYwM/4yUyS/J9SXj3rguD0dpcH9kOwji7K8JE1++TocLMbXGk23JqQ/X0vtpJ1cq6bJELk2lWbAvXt4EVKjdrIr/Skjv4sU/nGUU3HOB9JyoFfL72PgP946SmKmDEPlW/Pk1gOa9OpcriRWOl+JfswMRbqRHkonP7BJ78s4+XTF6xuhTByznP7z1uE8RoHi9DCa9TPE/CcIzb39S5AxX47jsTSc9buKbv1HCM3LENSND3I0fg+f3+zDVcwVdND2T8ZKtQMU3GF8F1nqrU3Ex7wvvLyMj8dqZoZK8+zyfET+sCWELemP4/sZXNo0Tfj4suxHmMkoUjx5P/vnCQh3IWfsW+H8ZhrJO92FdUry37HDdzk71x7AdF8CUwXPE/hH7ZyPhksuV65700U4h2Wz07gVSz9MIjF0Ay1rCMzNb5k1VI3krs5EbzUVBmMIyourp7BdFEAvRTX6SPZGRUme9k1/axNXROTi3pjsrcdSp3n069WX/v370FToHygqZfnvsNVRIbzWUOIPr6N1XcHfMpk/tCcPzSPYb90Hrm2kUX9vxvsuQrt7L3r170PHpvVFhKhM8C+LgBEyeBUYEX/cnQZfSyYUv7/HpsX2pNUdSM++fVFUUEGm+zdqXsZFWndSwnB5FH6zpTl9LAqFETqV59vKSkezrzz5clM5u8+Nr3Pk/X6U04crUTwoLcZjtjbt56TiPkJkmhcEVaTu9MHWfwtuuxNR61BOzD6+xG3ZbC48acWhYM8vm6e865jX7UeGwzYi10z4wUfy7/zTTxKaj+zWHYJzRh3iY8qdgssK8fJcwxjbhUh8bVisgOhDbFp14qntUQ4vHka10iLSYgOQ0Z+Jhf85fC0FNs1HOFbpyK1vTE68OINKZ11uqjlyIWQxHevWpEpZCbkP9xH9VAU9lR/7j/9ZQiNoRIyXLUPtN2PtG4H3VHWhTwSFH1g5fAhLL2YRdDoCE8n2wgWnKPMOzr++wm2hKtUpY9tUfewPtRCGbbcvfY6+hhxvFXyJ3zhMKEe/PmFHc8N4TryKR6dJTapVfyN0Cq7j/IRgsxZ8zId6dWtw5+gyFEdEcajc5PQg1hs5bTt010QTNFNVtAiVFrHZypD19adx2WcEdXNeoKmuTE5TgclpTPlCkYGVVAvezUrnmFVniouTuHShI3LyIkUm80kCgxUHYxacwXzlRmy2k2FquiUfTs4qn6BFJqcku/WEfjI5ZaQyVFmS6k7fmJxsU0m5fhrZ8oRSJS8TUO08gqnRVxknVwkRLbyEcXt5YoYF8thvLHXKJ9S34QsY+GsV7h5ZJUrOVviWJeqCsG1jok+70LiSsO2i3NucOZuLnoHIXv4kZiNKWtc4U7BVuNt9nXqIfiqW+CS8Rq9zLerUqU7BtU10GRZNxIODdC4uoWaVXDwMNNiU0ZfIyK10blwdQfr7d+nJ2NlcwyPCVui8W7HkvEhEQ16FHs7n2TZBihrVoLggl3Mhm7jScRrTFRoQu7A6C1+5kRjoKLq0KAs3Aw32/WJH9N6xNM1/iPZAJT5KLuZksC0Na1alrKSQ++dCmHOkMQfWaJO23YqBx7uQdcj5u4R1pR8SmDjDh00Bu6hX67eToKTuc0LV7CERTxZx9mI1HIb3+s1Z8NWVIJRkrLCNzmKO8rfRFT8iNGXcSTnCxyYqSHf97RTXZcUfmbQ8kFUuM6jcK+PLq5Xd3UqHXmtYdf8uY77fTLPPWQOzcGVeprgK+yf3bqiI0CyMZLOjPFVq5bNJpxG7u3qT4i3wrRIM/IfIyitTv68XoQeM+HjjKD3kjGimNp2UkPXUq12dwg/PMNVX5FrmQi6k2nwdYSRaqkkPMGBqkj4RW8tNWWXFnPUaw6xr+iRsHU+DqpB3zot6RjuJPXcW+aa5BJ/MIDNqHju7ryXOpg81alSH0jRmtpCl0YYYXEx6QI3aZN6LQFZ5OMvCn9M99xlyik1Z17g9+/XmkrRrBVWK84ndvZjcmq0wd9zB2Zg4BrRvQLUqZfjaDmRry1WkOGpQtXp1qry7ir6EDFLBF3Af3V/49h9fpqKpLI/+lscsUmtM9apVoTSHOZMmM3J9ACqN/0iu9ALOOklhHNqJq2cO0LZpXeF8/fHVLTznz8PIM4yOZbfRVhzAsO1vmacoUi3Lnh1FqudyVqVHoNmkITVurKex1C580hMw7VhXuPb1mJ0AABE3SURBVKAXfHzLie1etBw6G/kmr5GSU0FqdTzbTXp8TcLLSji63JhdbdzYZ93nt4/o+ZiGRUtJmH4QT50b3Gtrg4JQLq2klL5hveQAAlprcuHkdur+AafgT3cpyXvI0gXnWbjRhFS3apzoe60CoRHU+sByK2VUXSoQGsHPLw5jYx+Ld0VC8yoeuVZayG4Kw2e6wHwqLhUREBGawtc4GvVm5YlmHLqZzKhe3+96BBcVZz9nnIYSpzIliIqJRqpVXUjfSW9FZyS1VKld7cvkWa1Ga8zspjO0n8C2X0zIQmVG+79BV1eZBjVbYmzQC2vrKbSTN2HsXHdmdL+NRmcd8sa4cWm3U4XQyVKSgx3Rn7SORr3UUezThipFxdTrrsvSBRa0+FEIcHE+rhbdWZowkrt3POhW0YGiknHw5loIClrmVO85lZhQT5rXESlMZbkv2DBWhQXRhYyydcZttgVdJWqT/TASq+EmhL1uxRBVGRrXrkrVmhJMc3FHrlVNKPuItfYA9qb8wplriSg2z2feKFX2v5QkIjKQ1vkP2O25CJu1UagambPIyQkdqaaMVWzFgdcDMFGRRHuyM5YKDdi/SBuzVbfxSb6JzaAmUPCeg24Tcd73Dtd9IRhLNeTt+QPYbUhlqbcrPRtXI+txHGqq2uS2nEz8WQ8k6lYj78lJtPoZcM94F7d+HUu94hgm6O3AevNa1Lo24UlCENZrr7It2IMOPGDGkJ74PBpOysVdyLasSdGrC2i0lOWp/iyuHtsgnKBfpmxGUX0qja0OErfJSOinIvShMdrH8EU+bF5gRPPqBfgtmEFYHUN2LBtJg9/IHXM5ZBUGY32x8A1m1QQlMu/HYTt5BSNXbcVEVuQnkvvqKqPUtLlSrSsR0RH0lfg+y1TeNV+MFz/Aa+dKutYr5MiaqQSXmbLb0UA4ti7sXICG1SuCz0/nl9odUe8twUWPTow+Z86FVTqkF/RApqcEj0PdUDRcRSNFDaQ7N6Ps41t+6aGH/dzJ9Gj8fWa30oL3rLBSZ8XJt2hoqdGsbhXe5VZB23QKU0YpU6PgHuPb90DC8xLrLAcI21OY+Qg9tX40nhLCHLU+KPRuQuLacegsO4OkxhC6NqtNYeZHOqmbYG9jRrOaOfibdOeq2h58Z4hCsSuWnCR3uml50XfoUGQVNRluqMvA7q1ERLxCuRe6DmW9PUza7MIsS90fbEig8N1dtFQVaGQfQ8jEvhXEqVLynh5GrZ0xFy2DyQwyo175cwROkbfPBrJwQwqb9vjTquQxTi6radXdiB6y0ujJNuXesQlcaWNPmcdS7BJvoGU4jCXLVtKi6Bbubh7kNu7NkoVzaVrh232wYzjSPg25f25HpccPxG2Zhu7sGPwS4hjbtxZhW9wZbreOtr20mbnYjYlqeYzuqMRFZTuuHfeiVW3IehCLvIo+NXrYEntqJQ2r55G0YSojFh+g0UBt5Do3on4nadIitnDuzi/YLnPFeYbON2pSCZf8zNmYpovvmgnUys/g+JYVRORIsnCONW3Lo5Qu++mj5ZtP1EEvMh7nIK3WmwWaA+iyNh7VKlnIy/Um7/puWivPY3XwdtrXkUBVSZrH4WtQHZXE/juetKnTkm4tq3N94xBklqajq6tB/XqNUDO3ofedpZh6VsN3szNqKr2oX/U+k9rI0mbzWXRqfWSAhgJZ57xpo7aciHvPUG8v+hifJfmgqHaStbGLkO0pQyeBH1vOebS7D+Zl7yGoyyihO9IAZalefPb9rmQezU3bh6qyJe/bqiPfpzU1SrKpKiHFNHt75Dr8wqsUX+QmpxJ7+Vc6lC8Z6cGGDPIoJHixHd1UtOjY8C3WijIceCaBlmpf6lUvpbRqE/Qmz8JYoSvvbx5mkNo6tt+MQ63F16Rd4Oy82HgQvqk10NJSQ0tDDwNtBVrU/8bfp/gZixt354SsNcuWz0FfqVO543WljIaHuyzo45HDvYQQWlVUnEpzCDAzYHJ4GoGRKVhVSDopWDP9XRfzTNOVFTptSRIQmlb7eRZ3HKT02T7L5DtCk31tDzM9LmA5VZqDXhe/IjRvknxppe3KzqjLmA38ktlcTGtECFS5c3JD2YSFAWRXRETThWTPkd+E4j1mpaQBwZ/rybI9NgDpRoVsm2OO15k0yipOmGWlZNbuyaHIg8g0EAgaT1nnMJ7Qx51x/XU9CjVvYTp/B0ZWVphq1mSqlCWXyu9dt1kbtgQfpV+LTxETxTxNPoTbqs0k36+GqeNiFpqqlttjK+/K13dCsbBewIsKDbPZdh4bmUqc2Iqz8Js8Ad+LaV/dbNjSPSw3EkQgCNwrrmOtNYZLgoQ6gIVPLPNVGpH/IZ2tK5cTHHqLNkPNcFlgQ6/mteFjOvYKI4n8fEdN9l/zpMurCyyeu4DEd62ZMm8R5n0zmTxhCV1n+OKkK3KevBMVxOy5m9Bavg17na4EzpyIZ/yN8jt1YGXIDvTLzW93onaywmMdd7LbYGA5G5uxWgiDzR5FImlY0U/FjM1BXXGY6kZmvuhWciOn4b9EmYc3f+FGpD/r9ybQSWscK+dOoFnxI8wtJ3D3aZaocttBnAiZjpvcOJLL36R+45GsW1jC1AXHPrdSxtabbdNURYTG7gYp+2eyxW0jyVmNsJnngo2eaDf4o5LzIBZ3tzWcPP8YJRM7nO0nlacIgIdn5jJs7pmvLpfSXID/+rFUTEOTERFIXr/BnPFazpaYR2iNc2CetTYNy4nUzdANTPROZcma1ej0aSbs45fhzliuTmPKxq2Y9P0iqd8648uiZYF8aD2Q6faLMFGsRBao+EZ5T/FzXkjA2UdI61uwyMGKjuUqVd7DGOSHzWT1gQR0eoh2g4VZT7CdYU9/05XY6nf7nME1KmAx831O0GLgMByc5qLWsXyjkXUdG01b1PyCMRv49RlJ2S/ucmL3AQq79uDR4UD2nrtL1ru3NB1kwZ6gNfRp8oX8PbkQiOGMWAJPBSJVnufnN/ulLI/DMwxZckWL2Jj5fOJyXrMkCYj6cX/2ttjEjvlq3I8PpbCDIrXPb2Xlez2cu0ahbTad0b9ex0WnNUaz57PVbwsSBU9Zv2QWY5Yc4vbu6QRVn8B26/KjV0o+4DesOXEyB9jtMrzSB5fmvWHnanu8Tz9Hd+J85ozqjffEEdyRmcd2BzWmj9Qh8bHo0nqturBtuRWjJzl/uZfKfBJ9LIRHA1wL9WH+An9qq47Ba6UdW9YsoUE7DcyN1WlXwc+r4ovcitjGwhUbyGwgj90iFwwHtfpqocy8uI0xjjuQHb+WhWNkqU0Oy2zNyJNxY7n1AKHiln8vlJFj3NBd5otd+TfzIM4Pq1UXcfPZhEp5VB4UsmmuGYHp7fBc7YhaDwluH3dnxrHa7PCwp3V9Ael+wBKzqWQqO+BuO5R6VeHSDjcmedXjVMpsPnkGCI5+sdt0mbmrVzOoVQ0Kcl5y7uQubud3JvfRCQ7sTeRp9luKG8mxYddORvVv8pvZhh8mh7BgqTvP6YPlrLlY6vT/rLhe3TMT1weqHHISLOaCUsr9Q4uYHlqHbZsWfyYLWY/Os3qhM8efV2XYyKnMnqJPM6F5Cm6f3IB1cC1O7LKh4tAVpFhIvxBP+K23dKrzAG/fI6Q9fcmrvCpYOW1llc0Q6n4+UPUdv2r04JL+brbM1fq9aQkKrzK663hGRsdj3lk0PzxPXo/OlKAfXyshxd4jm+ldv5aQ0Ay/voiM3c4snjyUx0N3EmTeELdyhWZAwVX0Nz8mdJ0xKYtkWPJgCLGfFZpSYr0sMQtsSUri+nKC/Puv/W+q8ZOnbX8PTVH6cWEyr/Ha/b6W9kqLuXtqJVHtnJn6+2vYvwnzf0VbK41y+le0/P+xke+vMMl6KVYbdqFcHqVRmJfFq0fp+DpO4mi3lVxZrfXZRHUzaje5HfSQ6fxbxyx+3ZaCt3FYDrdn2p6zaLT/nYyClcBwP3o701bsQH6oM+PHKdClRW3RjrXvta8ITZ0Ub9pODEa+TX0Ksl6Q3NaaN/tnCdWQzFvH6aW2hQNX96FUISfU/yPq/9BHZ+E1dTwFZutwGNxFtKkryuN1xmPC/J2ZtbsNqTc8afc3S8Eft9kBm/M9ifO2pnGtKsL0I1lvX5KWcpBpc7axPjwG1Q4iX66i17dZf+A2U62H0/iLE+QP+/PsFltsU7U5v3G40BfvZ8un8S7woXkTvwZph2akJo1iYzmhKT7uw1PFCYyXbgkPg7FYmEJQOaER4G9rZIaUexBT+jX64WnvP/te/5T6f47QFDxjziAZymyDcRojT5O6tRGYXQVSc+bLRxzbk4TSLEu6/JWp6f8pyP/D2/E8ZBJt5qVz41o4vX+kT//DcfhfNu/d6YX0dLzBxegQ2pVnixY9v5Roryk4lliwUbc9vds35NKZfTzvaMboAb8nzXzdgscxATifKGLNssm0+Mnc67nZb8m9Fozpwu0UDlrDmXUaXP4NQqMeJkXyEiWheTD7zRvqNGtG9aIPBC52oYbFCiz6/V666f8l8v/AZ72JQKXXPBafi0G789cuCK/ivRk0t4TzCbOQ+F+fp/U7UDuY9OOy+gHCpvf8Opt14WMcLCwYMsudNh360rzgCWeu3MVkhBE1P+U8+yPdmPec9Rbm1Lb2Zbr+J8feP3KhqM5XhCZhLQOXtOF6pB4bygnNq62zeKPvhq18m699aErzuHHQhUMvh7JkluYff+C/rOafIzQlORx0NmfKhjgat29Dvdo1hSqNwHGySmsdfH0cUfiDu79/Ge7/7OYWvWfnlEGM21PAmtBkHDTEtt7/RYeX5qQybqgej6UXEOAygW7NfqEk9z3nQgPYd6EhU1QzGGzpTYc+irh4bUR3QOURTT9815JCHiTsxmfPC+Z7OND82+RQP7j40l4f0jobY9L+GS2nXebOkYnc/obQbPRwo/ab16y2m4aexzGGtClhV3gGxoMb4D19KW2nLMZUubN4d/rfHlClH9lgpY3nw94EbVmBWvdmVCnO4/7lULz2nGOikwv9JGr/7fohYfsc1ByOs3bbXqbrDaRmNch8dAUvNx+aDBlDguckTj+rg6aVIxsXmNDyK+L/x0Aty81g1+q1PFewZZ5Op5865FNAaPzKjhPkqInzlBVIr17IyGYFn52C2z7ewwibV5y6vpTs7XKo2j/EPfIZHZNWk9xEizmjBlL/6xCrP/bS/5Jaf47QlIP0/EYsu0OOce3uK2jRDb2h2owYOuizzfRfgqW4meUIHPe1ZH/SFziUDBYxzfTr84nEYP13ECjKfkPs8QOEJV3i5Yd8JHrIoD3UgMGyXSh5exGvgAjUzWch3+HP2Qqynt8jjVYMbF3J2QO/0bSXjy+SFr6TzbFVmOC+gp5vQ1ngcVjon+XjPpUDXsu5/LgLrqvHU/P9VZa7rON51fY4ujjR6H06b+p1p1/LP3di8X8H9X/oXYtyuBR7khPhcdx7kUkjia7IDNFimMag8gzUf892v7sbz6HDYcRefwQNWzBQSp6RI/To0BhiNi8jpYEOM0wGU+erSKWfbEtZATdPhdNEcxgtf/JT2unpwOmr7zF3cEevTxNSvNaw6cJtUB3PzskKRC1yZtvT1xhYjSf31kvGT1fh/LlSBpWfr/eTb/qvqv6XEJp/FWLixooRECMgRkCMgBgBMQJ/OwTEhOZv1yXiFxIjIEZAjIAYATECYgR+FgExoflZxMT1xQiIERAjIEZAjIAYgb8dAmJC87frEvELiREQIyBGQIyAGAExAj+LgJjQ/Cxi4vpiBMQIiBEQIyBGQIzA3w4BMaH523WJ+IXECIgRECMgRkCMgBiBn0VATGh+FjFxfTECYgTECIgRECMgRuBvh4CY0PztukT8QmIExAiIERAjIEZAjMDPIvB/3kRQUZuZa4UAAAAASUVORK5CYII=">
          <a:extLst>
            <a:ext uri="{FF2B5EF4-FFF2-40B4-BE49-F238E27FC236}">
              <a16:creationId xmlns:a16="http://schemas.microsoft.com/office/drawing/2014/main" id="{2C69A6E7-1F00-4D4C-B1FB-7306EF767D0D}"/>
            </a:ext>
          </a:extLst>
        </xdr:cNvPr>
        <xdr:cNvSpPr>
          <a:spLocks noChangeAspect="1" noChangeArrowheads="1"/>
        </xdr:cNvSpPr>
      </xdr:nvSpPr>
      <xdr:spPr bwMode="auto">
        <a:xfrm>
          <a:off x="6461760" y="10721340"/>
          <a:ext cx="304800" cy="29718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twoCellAnchor>
  <xdr:twoCellAnchor editAs="oneCell">
    <xdr:from>
      <xdr:col>4</xdr:col>
      <xdr:colOff>0</xdr:colOff>
      <xdr:row>379</xdr:row>
      <xdr:rowOff>0</xdr:rowOff>
    </xdr:from>
    <xdr:to>
      <xdr:col>4</xdr:col>
      <xdr:colOff>304800</xdr:colOff>
      <xdr:row>581</xdr:row>
      <xdr:rowOff>1011</xdr:rowOff>
    </xdr:to>
    <xdr:sp macro="" textlink="">
      <xdr:nvSpPr>
        <xdr:cNvPr id="15" name="AutoShape 2" descr="data:image/png;base64,iVBORw0KGgoAAAANSUhEUgAAAjQAAAG/CAYAAABPFE2FAAAgAElEQVR4XuydBViX1xfHP3SXgAiKXVizu6ZO58KaPefsBEHAFgXBxO6cm06nzprdXbNmYM3EQEW64wf8n/si/g0QVNLd+zw8m/C+5573e+577/c959xz1ZKSkpKQTSIgEZAISAQkAhIBiUAeRkBNEpo8bD2pukRAIiARkAhIBCQCCgKS0MiBIBGQCEgEJAISAYlAnkdAEpo8b0L5ABIBiYBEQCIgEZAISEIjx4BEQCIgEZAISAQkAnkeAUlo8rwJ5QNIBCQCEgGJgERAIiAJjRwDEgGJgERAIiARkAjkeQQkocnzJpQPIBHI3QikXRkiicSEBBCFI9TVUVdXR01NLdWHETKSr81AlQk1UNfQQE1NPQ1gkkgQshIzJktNXUPRLa2WmJhAUmJi8nOk09Q03i8rKSmRRFVCemKUv6sJzDQ03nNtEgkqVYb0Ql0NDUVW6viLThISVBnDTF2YUzNNWwpZiQkqkjKIvzIu1NN+zsTERJISX46j9PBPB7NkWcKWGTCmOmhoaKXZ44eNWbWXYzYT8FcTY+PNcZbWO5jW+5ahAZgLL5KEJhcaRaokEfgcEBCLc2R4OP4BLwh4/hx//xcEBwcTEhxEaFg4kdExxMVEK49aulQJfu7dD11d3VQfPSAggCULFxIcHER6pbPyW1rQvWdPrG0KpSorOjqK9X+s5ZrPNcQC9r5mZGREl27dKFOmbKqXqVQqTp84xo7tO1AJkvSepq6mRuMmX/Lt963TJG0+V6+yauUvJGZgQa1VqybtO3ZOk9RERoThNcGTuLi4dIdT8eLF6d2vf5r4CwEL5s7m/v0H6eIvMOvZuzdFihZLtd/4+Hg2/bmBC+fPp4u/trY2bdu1o2btOqnKEmTy0sULbFi/ASH3fU1DQ50GDRvxfes2aeIf8MKfBXPnEh4RkS5mRsZGuI1zR0NTM/Ux++IFSxcvIjAwMF1Z5ubmDBpsj2m+fKleGxsTxbLFi7n/wDddWcYmJvTo2ZPCRYoopD4iPIzFixaio62NiakppqZmFLDKj4WlFVYF8qNvYPRe8pluh7noAklocpExpCoSgc8JAb8nj5gzYzoX/7lMSGg4YvEXBCLlRxCTFHJSs0YV5i9ehlgMU2sPHz6kd89e+D15ku4iWLxYYWbNmU3psuVTlRUeFsrY0aM4dOiootP7moWFBVOmTaVe/fppLs7rfl/F9BmziIt7/4IqPA29+/RkqMuwVBcQgcvBgwdxchiS7jMKZdq3b4v7BK80F9SQQH+aNm1BVFRUusOqRo3qLFi8CEPDtBe37l07c/7CpXQJjaWlBXPnz+OLylVSfc7YmBg83N3Zvm17uvjr6+szdswo2nbomCah3LNzO25u7sTExLz3ObW0tPipezdch49IE/+Hvvfp/mM3XgQEvVeW8GyIsXHw8CG0tLVTvdbX15d+vfsgxm56zda2EL+tXkUBa5tUdYuKCKVfn35cuHgpPVFYWeVnzty5VKhUSfG6Pfa9T7t2HYiOjlY8jeJHU1MDI0NDalSvSomSpShoa0vhwoWxtimoPBdpeErT7TyHL5CEJocNILuXCHyuCNy7e4efunYjKDj41SOKhUBbWwuxuIjJVl1dA319XcqXL8vkaTPQ1zdIFQ4/Pz9GDnflhb8/iemEKmwLWeM23p0ixUqmKisqMoKZ3lM5dfoMCQnv99CYmZkyfNRoqlatluaCumPbFpYvW058fNrkSKwP4tk7duxAz979Ul0wBLk7dfIkXhPc031GoUzLli1wcHJ5GSp6V73w0CC6de1GTGzs+xdnoGLFCnhMnIyenl6aX+vDhg7hqs/1dAlNPjNT3D09KVPWLtUQlvAYzZszm0MHDqTr1dLT02Xw4MF89fU3qT6DCB0eP3KQGTNmpksoxSLetm1bevcbkOozCvyfPfXD2dGeoOCwdAgN5MuXj1Vr/kAzDQ/NUz8/Ro0YxtOnz9J9xW2sC+A9cybmFvlT1S0mKpzRI0dy7frNdGWZm+djnLsHpcuUVcjLrZs36NOrN+Hh4YoX6+33R7yLBvr6GBgaULtWTdw8PNDRSd1Tmm7nOXyBJDQ5bADZvUQgLyIgvByxsbHkM7dIM78kIOAF7m7jCAoMxNDISPG+mOUzo3zZEpQsWQrz/NbovXR3i9CCjo5OmouzCC1ERUUn53Gk0wRREqErTc3U8xuEJ0R8zatU8ekuzoJw6eropPkVLhbBuLhYYmIEaUg/70LoldZiIWQJncRzZkSWtraO8pxp5UGInKPIqMgMeXsEVkJWch5N6i0yMiJdj4q4U0NDU7GlWChTa+I5Y6KjlcU1KR3MRMhEyBI/ackSBEnYIL3woRpqih0FaUurCZ3E2BDjLb0mntPAwCBN/AXZEl6RjIxZMc4EqUgrJ0pgFh0VRbzq/V5AobMgMXp6+ootxdiIiY7i0YM7iHCmz/V/CQsLV0Jq4WFhBAUFKSGxiIgIJW2oUcP6zF24EDG28mKThCYvWk3qLBHIAQRU8fGEhYdz5Z+LHD50iMREFaPd3NHT109VG3F9QGCAkmaqo6urLCRaWtqpLgAZTU5ML39GKJJRWYI0pJeqklFZGdEro7plpizRZ0bkZeZzZqasjGKWkefMqF4ZkZWZemWHrJQxIP6boIonOiaG6KhowsJCuHLpMlevXsHX9yHVq1dj8BCnNGeXlDDx+5Lkc2BqetWlJDQ5ib7sWyKQBxAQX63Pnz1l184dHDl8lPv37xMeHoGxkSFTvafSoGHjPBtzzwPwSxUlAlmKgCAp8XGxhIeFK/lYpmZmqfaXHJJ7wulTp6lVuzb5rQqk6YXLUoXfI1wSmpxCXvYrEcjlCAiXeUhwILt37mLL5s3cvnMXlSpBcWkLV3uVypXo07cP1WrUUrYQyyYRkAh8vgjEx8Wxbu0q5s9fTP78+WnduhXftWqFpWX+NBPTsxsNSWiyG3HZn0QglyMgtluL/JhDB/azY9t2Tp3+W9n6q6GujomJMQ0aNqBRo4bUb9QYAwPDDwjx5PIHl+pJBCQCaSIQEhyMi5MD587/8+rDpmqVL2jTrh1ft/wGPX2RUJ6zHzaS0MgBLBGQCLyBgAgveU+ZyKHDJ5SkRpFcqK+vR/16tenbvz+lytilmXAroZQISAQ+TwREiYO7t2+xYP58Tp/+W0mEF78zMNDn65bNGTjInvz5rdJMoM8OVCShyQ6UZR8SgTyEwDWfq9gPGqzsfjAxMaVZ08a069CB0qXLoqWtpWy1lk0iIBH47yEgdpKJZP8HD+6xeeMm9u8/oBTMFPk1ov7Nt9+0pPOPXZV6NjnhrZGE5r83JuUTSwTei4DYUrv2txXs3neQIY4O1KhZG1291HcySSglAhKB/yYCIqfG5+plli5ewslTp5U6TMKb27RpYzw8vTAxNcv2cLQkNP/NsSifWiKQJgLiays2Noaw0FDMRZ2Zl/UsJGQSAYmAROB1BMTGAXFcxOGD+1myZDkvXgRgYZ6PhYsWULZ8xfeegZYVSEpCkxWoSpkSAYmAREAiIBH4DyCQXBBSxd+nTrBw4SIqVarEUNdhytlR2X2EgiQ0/4EBJx9RIvA6Akp129hYJXkvtxbIkhaTCEgE8hYCwlvz9MljZQu3yKHJiSYJTU6gLvuUCOQQAoLMPHn0iPnzZtOoYQOaNP8mzbLyOaSi7FYiIBHIowikVCT+kKrMmfmoktBkJppSlkQgFyMgJpsXz58ywWMCx46dwMamAOPdx1O7bv1sT97LxTBJ1SQCEoE8ioAkNHnUcFJticCHICC2W4YEBeLp6cmRQ0eIi4+nVMnijHUbS/VadT5ElLxWIiARkAh8MAJiDgoLCyUuNg5zC4v3HoT6wcJf3iAJzcciJ++TCOQhBJ48foSLszPXr91QEvhq1qiG2/hxFC5SLEcLYeUhCKWqEgGJwEciIMiMKMrn6e5OfGISXpMmUrx4iUyvVSMJzUcaSN4mEcgLCIgwU3BQIN5TprBz1x7EQZN169Rm5JhRlChZShbJywtGlDpKBPI4AlFRkUyfOpnNm/4iXqXiyy8bMnnKVIxMTAC1THs6SWgyDUopSCKQ+xAQxa9+WbaYJUt/ISYmBhvrAkyaMolqNWqioaGZ+xSWGkkEJAKfHQKJiQncunGNYS4u3Lv/SDmlu2uXjjg4DUXfwDDTnlcSmkyDUgqSCOQuBIR3Zs/O7YwdO14hM8bGxgwb4cp337dGW9SIkE0iIBGQCGQTAmJb94Xz5xg7eix+fn5oaWni6upCx85dMi3sLQlNNhlTdiMRyE4EEhMSePDgPq7Ozty69S9mZmb07NmDbj//jI6O7kepIuLgCQkq5dwW2SQCEoG0EVBDDU0tLbl78C2I4uPjOHHsKBO9JuHn95TixYviMWECX1Spiqbmp3uMs53QJE+GckKUk8Hnh0By7YXMiwd/CkKCeNy6cZ1RI0by8NETnJyG0LFLF/Q+8kwm8d7e+fcmG9ZvQJz1JJtEQCKQOgJiHhC7eLp2+wnL/PklTK8hkFJV+K8tm/HynEhcXBylSpXE3cNdITWfWugzWwmNcDkdObCXJIXQ5I6JX442icCnIiBeUjG2v6hSjQLWNrnmq0zodeniefbv3Uuf/gPJZ27+0Y8qvDMnjx/F1WU4YWFhHy1H3igR+NwREISmaNGizFswT0m8l+1dBCIjI3B1cuTkqb+VXZctW7bAfcIEjIxFkvDHt2wlNIKNDR/qQKOmzRV3nGwSgc8BAUFm/j59hm+++Ya69etnSX2Fj8VJkJr4+Fi0tHQ+iWi9TWjEqbriJ6cqgn4sHvI+iUBWIiB2EYpWpEgRSWjeA7RIEr5/7x5uo0dz+YoPpqYmjHd3o+lXLT5ps0K2Ehph7JlTvHAaNhIdXb2sHFdStkQg2xAQRH3tmjWUKlmS2nXr5ipCk1kgvE1oKlQoT7sf2srk4swCWMrJ8wiI9W3Llr+45nONwoULS0KTAYtu/2srU6dMVfLyOnXqQJ/+/dHX//hdT5LQZAB0eYlE4H0I/BcJzdctv8bD0xNDw4+ffOSokgh8TghER0fj7jaOvXv3UqhQIUloMmBcZe5c/RtWVlY0+rIp+gYGGbgr7Uskofkk+OTNEgGUxLb/moemZcuWTPDyxNDISA4BiYBEABCEZtxYN/bu2SMJzQeMiASVCvVMCl9LQvMBwMtLJQKpIZAbCE3K7kE1NfUsMdLbISdJaLIEZik0DyMgCU3OG08Smpy3gdQgjyOQ04Qm+ZyUm4SHR1C8REmMTUw/efvj2yaRhCaPD1KpfpYjIAlNlkOcbgeS0KQLkbxAIvB+BHKa0ERGhDPBfTxHjx6jUaOGjBw9BlOzfJm6A0kSGvkWSATej4AkNDk/QiShyXkbSA3yOAI5SWjElvE9u7YzwcOTyMho6tatzaw5czHI5GRdSWjy+CCV6mc5ApLQZDnE6XYgCU26EMkLJAK510MTEhKMl4c7u3btRUdHh/4D+9Onb79MKSP++lNLQiPfAomA9NBkyxgQhUoTE4iMiFAqm2t9wLlzuZrQJCUlkpj47jEJaurqqCtl5nOmiQRMMcG/3UTZ5txSaEzo9+6ZO2qoq6tlmY5p9amhkTWJqu+1vrBRUlKqGGS2PjnmoUlK4p+L53F0cCQgMAi7sqWZt2A+1gVtM93GktDkzFwje807CEgPTebY6qnfE/bs2snZs+dwGupEGbvyGRaciwlNIncuHMHF0Y1Qdc1XxcrEAVZdB7nyc9vmGX7IzL0wkTMHdjDWbRIJ2rqvki81DUzpOWw87etXRDMnFvDXHjIhIZZfp4zlt12n3zggTcu6FMvnTKWQpWnmQgKoYmNYOmkkfxy4gLb2yyrQauoYlqrO5oUTs73YXFxUBBPHDOPg31fR0Xl5srSaOhXrN2PqWBd0UnTMBCRyitCIfmd4T2HN7+vQ1NRg+HBXOnXtliVYS0KTCQNFivisEZCEJnPMe+rEMdzGuBEYFESrVt8xzn1Chk8WyL2EJimByyf+YpjjTDo7DaH6F2UV7wJqalgWKIiVhVnmoPfBUhI4vG09XpMX4jhmLMWKFFROpVJT18SyoC0WJoYINXOyqVSRzB3jxKl7kQx1csDE+GXxMy09ShUvkqmLecpzxkVH4D3CngAta37u3hkN4a1CDXVdQ+xKFsl0j0F6+MaEhzDKyYFozYL0H9QFLXXhJVJD39iEooULZaqHL6cITeALf7p1/RHfh48oWrQwi5cswbZI0SzBWhKa9Eac/Pt/HQFJaDJnBDx76seoESM4c+Ys5ezKMnvuHAoVztgakrsJzfG/GOEyD9cZ3jSp/+kncaYF97uhmf9f+W4IKZnQTPFezsxlyylftnjmWDGDUnzOHGHN348Z278TBrqpn4elEJqxTlx6ps6smdMwz/dpB35lRLUUQpNkXYkRI5xeEoiM3Jk110SHBzPGaQja+aswwcsRbQ2NrOmInCusd/zIYZycnJXCfq1bf884dw+0dXSy5DklockSWKXQzwgBSWgyx5gxMdHMmj6D1at/x8jIkAke4/mq5bcZKkXxnyc0YpfIU98HRKkS3rGGmbkF5vnM3vqaz1lCc+yvP5i27y6rp7liZqCb6giShAY+d0ITFxfDvNmz+eWX35RkYA+PcXzbqjXq6llD3CShyZzJWkr5fBGQhCaTbJuUxIVzZxgyZChhoWE0bdqEKd7e6Oqlf/5jric0Qx2mUK9Na0qXEImO6mjpWdC6dVN0tbQIDwlF18gQrde+vhNVcYSGhmNoavrG76Mjw4mITcAy35v5I/Hx0cx1G8390BjeTj+u3/w72rdqidYbOTHJhGa8x2y+79KFAlYWCuGxsrGlUcN6aGlqZpJVUxeTUUIzZ8wQDlx+Tps2rTAwSB4IlarWpLxdKSUclNlNeGimjRjMrRANmjVtjIa6GhqaOjT5qin5zTO3JkpGdBeEZrSTPU9Ctfnm+8ZoqqujqaWrHB5ZxNYmU8MyORFyevzoIa7Ozly54kOVKl/gPWMG1jYFM/W5XsdZEpqMjDp5zX8ZAUloMs/6UVGRDHN25vDhoxQvXoxfVq7E0soq3fkt1xOaIYPciTc0RE9PJOBqUvOH3rj1bacQmj8WL6F2p/YUFUXElEwWiPK7z4IFK+nk4kjhfObJCCclcHLvVrZd8WfKsAFvgCKOMY8IDUMldgW9ZQ89fX30dHXfAjGZ0IwYOQkdU1N0dHUUV1iDr75jhPNg1BKi2TR1MjZtulO/UplPztVISkzk8qn9/Lp+O7HxKgKfPsE3KJoKpYuhralByRoNse/RGR3N/5MU4aGZM3oIa/dfxNjY5GWSqBbO4zxo0bBGuoQm8OlDli6Yy6OASJLeQkXJi1HToteAQVT5ouxL1CGZ0Axi64nrmJgYi1QnjM1tmDt3JgULWKY7EN/3KkSEhzJvmhcPX4Snepm2pjFDx7hQpED+V/2kEJrjF29hYmqkkGFTSxvGurvzRdnin6TP20rkBKG5cP6ccm7Mixcv6N69G4McHDPkkv3YKUcSmo9FTt73X0FAEprMs3RCgoo/1/2Bp+ck9PX1WLV6FWXsyqU7x+V6QjPMaTYOkzypV7OisjBrauuir6utLEjzPCbQdGA/ihkYoKmjp3hHwu5fx919OgOmTKS0tTXxsbGoVPEc2b6W304/Zu0s9zdASUxU8fTRI2LiE94hNKb5zMlnZppqyGni1MVMnDOPMiUKI7aRa2vroKurQ6IqlvM7NmHyRQNKF7NV7lXFxRKfmISuri4JsTHEJSQpRnrVxL77uCjiEjUU4vZ6E1vX71//h4NH/yZWlYDvLR9O3g2i3Vd10dXSpGApO75t3gTt17xIyUnBjpx/ksBELw/MTIwVkfqGBmhpaSkkRMgVL6CWti5amm+GKUKD/Nmz4y8ChNfq3V3zqKtr0fybbylZ3PaVqik5NDH5yuA4pD+aasJDo4muqCPwUr7oMy46EnUtPbS03u/JSlSpiIqORk/fgLiYKLZtWs+LkKhU3xhNTX3admpHfnOzVwQrmdAMAeOyjHYbgJaaOhqaWorbMkWfRFU8MfEq9DPgynzfq5oThCY2NoYnjx9x984dbAsXoaxducybTVKRJAlNlsIrhX8GCEhCk7lGPHXyBEPsHYiNjaVt628Z5zk53fpauZ7QvC8peM648ZT75iuuHdiPloU1P7TriF7kUzzcZyiEppCRNuuX/4pfRDRaqnAuBumydvb4NwhNXOwLnLv+zM2g6LcWbzVade3BoN7dUg05pZUUnKCK59LOjZhWrodBhD/XHvrz7O5NHsWo0ap1K64f2cn159G07dCB8iVsuXv6IM+TDLl97iABSUa079iZIoUKpMlEMxpyel9SsFjIL584wO6jpzHIZ4WxgSnfdvyB/Iap5+RkZJimlxQsPGHXzp3iwOEDaOgV5MeenVD5P+a0zwMafdWE6MD7nL7ynC9rV+DfW7cJfnCdo5fvUL9RM1q0aPzBobz35dAIYhXy/DE7Nm7hSWQ837ZpS/lSxdJl/2nhkBOEJiM2ycxrJKHJTDSlrM8RAUloMteqN29cZ/DAgfj5PSN//vxs3bYFs3wW7+0kTxOaWWNHEWFuTeUSRXh24ywh+iXp9lUVvCfPpf/Esfx7cBs+/mpULleEk/v38G+iFeveIjSq+BgunTlNQMS7hKZEGTtKFiv81kL3/qTguKhIVgzsSIleI8nnd5nlh2/QvEVT/O9fw+dhCE0a1SX86QOexGkzuG9PTswazoFwM5rUr0Xws/s8CganIf0x0E+dXGQGobl36SSzlm/gh3YtObVtK0mWZRjs2B9TQ/2PHpHvIzRJiQk8uXaGpet20bhpE55dOsH1aBOG9GjN2mWL0ShoR+KzfyndsDXlbExYNnc+ZWrUwdhAkzOHj9Nl5DgqFvywsNX7CE1igoqj2zew78J9vm/egPyFi1HMtmC6oThJaI7i6jKcsLAw5GnbH/2qyBs/UwQkoclcw77wf46jgz3//HMFExMTFi1eSJVq1fMqoUnkyom/cHX05rvevahYroQSvhG7OAoWLU7xwgWZ5+5B4/59sctvxbP7t5iz4Bd6dWvPsrlL6Td6EDtXLqV+j9HUKF2QPet+YdXfT94JOX24CRI4sn0DHl7z6OUwhMKFCigi1DS0KFy8NAVMdVk5qPNLQnOFI09h8KA++J4/xOozvrgM7k3s/XMs2LCLPgOGcn3pePxKNaFnp9YE+PkyZdpsxnt6YfoyTPS2fj5njvLnRT+G92qf5rbtBFUU88Y6cfhmMH369MT4JVFR09KnapWK3Dm7n8VbT+Pq0JPj61djVKY27X/49sOheO2O+OhIvEfa80hlQof2rdBQS677oqlnTPXKZTm8dh7HHqrRqfVXJITcZMGa40yYNpUk3ws4O4/GrF5bJroOQBX0lA3rNtK57wDMDbXZvGAiT6p2xqFRhQ8iHDHhoYweak+wypxu3VspScFCHyMzcyqULcXl0weZu3YPjv16ULJMGUwM9T86r0Z6aD5p6MibJQKfBQKS0GSuGUVYfcv6tWzcugMLc3N69OpJ7Tp18yihIYnn92+xdvUfhMQlKgX1RNPQ0KRus5Y0q1+DuePdqde3H19YW/H07hVmz19Fn+4dWDZvOX1GDWTXL8up32sUNUsWZNf6Faw++5Q/Zr0ZcvpwEyRx99pl1q/fRGzS/yvoaejo07BlG2qWLshv9v8nNMeeqzFoYB98zx3i93MPcRaE5u5Z5q/fSe8BTlxfMp7HJZvQp0sbXjy6y8Sps/CcPDVNQvOqZo5aShr0u08gPBAnd2/m4N8+b+QFqRvlZ0Dvnwi6fpJ5q7ZTyLYAOnomtPqhHaWKF/5wKF67IyE+liPbN3H04o3/EwM1NXQti+DUp7NCaA7ejaFz228Uj5eOniGlSpXk0YUDeM1YRL6yNRk+1B5Cn7Nu7Z906T8Qc0NN1s2cQEDVDjh8VZ0PObJAFRvNtj/Xc+nm3Tf0KVSqPN07tUEtIZ57d++w9881aJasTa9O36P3kdWDJaH5pKEjb5YIfBYISEKTuWYUa11kRDjh4REYmxgr5zqJteN9LfeGnDKAzaxxowklH11/asW9Ays4HlMW+xaV8Z46j/4TR3J+01qiTcryVf0qrF0+j8vR5qz9ZELzfsXeDDldIS1Cs2D9TnoNcOLqwtFse27ICNcBPL12gp0+obg5D8Dw9aThDGDxIZec2L6eX/eeoVfXjhgaGmBZwIb8FubKVuusaIJg3f97L4s2HsXecRCayjZ7TSxMdVkweTyWFevz8NLf1P6+E2ULmDJ74mSade9BiXx6LFr+Ow6jxlLEyjK5UnRmtKQkQoMCCY2I4JnPcdb7hDHWoQ9m+h9XlE4SmswwipQhEcjbCEhCk/P2y9OEZv2aNVib6XP01N+ExiQycKgLVmpR/LpyPa0H9EU3OoxfFi0kMkmX0tZmPFQzZeSgHumyvE8xiyomhp0zx2PzTVeMA+9xOUiNNq2/5dmti+y74U+ntt8S73eDzYdO8833P/DPgjEcjzNDTz2J+CQ1OvUcSLmiNh/kjfhQfc/s/ZNfd5+lS5vviXp8jZ1XXuDlPhzTNPJ2PlT+u9cnkRAbzd6//uTEpVvKWVdVajejpGkMB32e0r1Le55dP8vOEzdp2bIR21etxNhMj4dBcZSvWZ9OrVqiraX50SGht/URBOvKqaNs2XeYpER12vboTcXith99BpckNJ8+Qj4XCaLMgvAm55ZDanMLruJrOz4uTtn5mNYhvqLIqbhO/D29L/Hc8lyv6yEJTc5bJU8TmlfhF3GqsqiPIr7glf9PpYn9x9k00SiTmqJLsh7K5PZSr///fxKJcbHs9x7Bs9JN6dYuubSz+HtWT4a7/1jOoWvP6dSmBc8e3ODszQAch/TD3NggS0fk6/ZKCSGm4JPyt+e+d9m4bhOd+vbD3Mwky/AQ/aX0+amYZyehESUIApzoU3kAACAASURBVPyfY6DUZjJQFoisHi/CRnltl5PQNzQ4iCd+TxU7izpEhWwLKcmFWYWXWLDPnz6FmZU1pUuXUt5nSXCSp5TQkGB+XbaERl+1pFKliqkSlhuXz3HmwlU6d+mC3ieWUsjSiSwN4ZLQ5ATqb/aZpwlNzsP3aRokxsdxfd9mwqzKUKda5SybaN/WMjzQn/Mnj3D22j0sipakWeOGFP7E4nefhsT/7w4N8Oef8xep1qAhRgYfv+sqs/TJiJzsJDSPHz5gmIsLCYlJ1KlbD/shQ5TaQlnd8hKhSVCpuHLxLN5Tp/P46TMSk1AW0LIVKjJxkhfmZmZZ4gHwf/qYbl268VPvvnTp0klJYr988Twm5vkpWjRjh+tltR1zSv7DB/fo2bULHt6zqVun1jv4C9K5Zsl8/n3kz4gxozHIwpB7VmEgCU1WIZtxuZLQZByrzL8yKYnEpESSktSyNMT0tuKiDotw7yYmii9X0bdGlkzwHwOY0C3lizqrvqQ/Rq/33ZOdhObqpQsMGuRAcHAIrVp9i4enF1raH5f78yE45BVCo2zJ37+beQsWU7VmXdr90I6iRWw5fnA/i5YsRd3MmhXzZ2FmaqKMs5QQh/CkCIdqRrx1aXn3REXrTX9soG6zphQvUoSAx3cYbD+Udl2607Fje+U9SxnTGfUQvn5wbvJ78X8P7isZL73Pr4dp3r4vxRP69julyHgtTCb+/jouKWNE2P9NbJJezR//f6ZEkgR7TNFR6CuSOJOSuHb5Aj16DGDl2t+xK1PqlayUe0X9rknjx2JqU5T+/foqIeYUz6BSIOylzNw8J0hC8yEzStZcKwlN1uAqpf6HEMhOQnPi6GFcXYcTGhpGtx87M2LMWDQ1pYdGDDexED95cJthQ10pX7Mezk4OSuhCLIKq+Fg2/LaUuYtXs2TFCr74oiKB/s958vQZZcqW5eFtH/wCwilV1g5rq/8foZHaMI6NicHn6hUio6KxsS1MiWJFlctEiOvWv7epUKkSEcEv2LVtG7+sXEPrjp2pX68WFStVwsAgOawbEhyIj881hRSI/kXhsNTIxnO/Jzx/EUCx4kW5deMmZpb5KVGsmHJtVEQY/1y6QrxKhbaWFjVr1VIqqQry8ejBAzS0tTEy0MHn2k3UtXSpWuULdLS1Xz2SIDK3bl7nmX8ARkZGfPHFFwrpCgrw5+69h1SpWlnx/gmP1+1bN9AxMKJokWRPk6jeev2aD0WLFcfMzIwEVRy3/73FM/9ALCwsKGJry+0796j0RXJ46cje3XjNWsLqX5cQ8OwxIWGRlClfAStLC4XwxEZH4eLoSNNvv6dt61ZKH+Kj6/rliwSGRaKro0OVqlWVg1hza5OEJuctIwlNzttAapDHEchOQrNz+3bc3d2JCI+gX/8+OA11Ri2LTth+3Sx5wUMjvvIXTJ/KmSu38PSaQLFiRV8dWyLIzpF9uxjr5s7sBQupVrUqf/y6lH2HT2BiZIBKXZfokADiNXSYMX0aVvktUxmVSdy54cPUSV7YFC2DjY01PlevMdZjHJbm5hzet5vf1vzJpMkT2fnnWtb8uZXwiEhlwS9T6QvGjhlNPmNDNq5dw+79h6hdtw6xUZEcOXqUgfaOfPfdN2/0KYjEqhVLOHbmHEZamtx9+IT2P3Wna4d2SjHQlb+upGipshjp67Jnzx5q1m3IyJHDiQoPwWvsCPTNrXno+0ghFUcPHaF2oyYMdbRXSM2De3eYP3M66OhTqlQprlw8R3h0ElO9J3H/1lWmzVzIzPnzKGZry3O/xwzq15e6jZvj6DRE8SZfPX+MGXOXM2rceIoVsmHJgnmcv3SVKpUrc+HsOXQM9FHXNmDh/FnK9et++4VDx44rRKVw0VI8fnCXuAQ1ps3wxtLCnODAAJwdBtPXfih169bmie8DFsydQ7QqETu7cvhcPk882kydNgVjI3E2WybteMzEuUcSmkwE8zVRUZERBPo/U9Iu81kWQF/f4FUZl7d7lIQma2wgpf6HEMhOQrNl82YmenoRGRnJoEEDsHd0ypbJPS8QmtDApwzu359i5aoyfLgrRoaG//dGJCWyb/tW3CdMZuHSZVSoWA7PsWPYd+g4DkMcadXmO04f2M0U7/nMX74EO7uy7+Aqju9Yv/pXfl+3iYVLl2JTwErxCqV4RdasmM/Ji7eYNHkSxoYGzJ46kZsPnzF92hQMDQwU78els6dYvGgZPQYOpnrVykSGBdOrZ2++/PpbhtgPenUWmVA8LjaWKZ7j2b5zPz379uenn7oo58G9eOqH2+hRVKxeh/79+6BGEucOrmfB7/uZv2ghEYFP6dimA5aFijF3wVxsCxVk9hQvrt95wux50zHQN2DiuDH4h8cwctRIrK0sOXpgDzNmL2TqjBnEhL5g2Ag3RkycQov6tTh74iiD7J348qsWTJkyiaSEOFwH9EJlXJDJnuM5f2QfqzdsxWn4CMrZlcXf7xGTPdzIX8wOt7FjELh5e7qxefshpkybQv36dbnrc57RHlOY7D2DsmVKc//GeUa5TWX8xEkUKWjF3MmePAyKYZr3ZIWA+Vw6w7AxE5k4cxa1KpbPvBIOmThPSUKTiWC+FKV8iBzcz4gRoxRP38QpU2jcuPHLA5ff7U8Smsy3gZT4H0MgOwnN5k2bmOQ1USE0g+0HK0nB2dHyAqG5fukc9gOH0KF7T/r27fXGQXbxcbGsnD+Dleu3sXbDBqwtzRk+1IkEdW0meHkqJ8Qf3rGFGQtXsmDJQqzMDDl48BDBYZFKhekKFStQtUplNqxZxYLFKxjk4ET79m2UPpJDMDEM69uD/HbVcHayR09Hm1HOTlgWLoWD/QC0tbWJi4tlxqQJJGkZ0bPHT5w4cRzf+/fYuWsPw0eNoWXLFm+YUnyZug6xR13XCHeP8Zibm4vAGlvXr2Hpr+vxmjgBv3t3efT8GScO7ueL2g1wchrCxVNHcRo2hpFjxipeH6HjdE937geEM23SBEJfPMTZZSyDnJwx0Nbk8tUr/H36NGHh8cxdOIugp48YOsSZnvYutPq2GQunevDMP4gn0QmsWLSA+7d8GOoyEgcXV+rWrM4oF2esi5Zi+Mhh6OnqEhYSiPuoEVRv1ILOHX8gNiYK+5+7UbnRV/Ts8bMSdhM69OrroFRFr1C+HMunuHPy5mPFA/Ps8X1GjXTDadhwrMyM+OfKVf45f464JE28Z0xTiKr00GTHW587+jh86CCODo4KoZk23ZsmTZumeUilJDS5w2ZSizyMQHYSmj/Xr2PK5KlERUUpZEaQmuxoeYHQnDl+kKFDRzNoyFB+7NbxjUT34AB/Rjg7E44BK5fOIS42hqH2g+nQoy9fNW5AYkICq5cv5OR5H7ynT+PeDR/GjvMgNDxCkdPt5+7079+fp48fMn7UGO48fESNWrVwch6KTYEChAU9o0P7H3EcN57mDeoRFx3GoL59aPVjb9p821L5ogwLCWZAj+5EqtQoUMBKyX3JZ25Bp65dqFSh/Bv5IeLLNPjFU/r16UO3voP4ruXXyiQuiNkktzGcuniFQgULKgu7qKBav1EDvv76a6VQ5ua1q9iwbQ/z5s/DKn9+hQQNcxhIwRLlGDCgH+vnT2Ll1iMUKV4MHaU6thr1GzSgdZs2GBkZEvjMF8fB9jT7rhO1KpfCa9pcnPv8wOR5a1m19jd2bP6T9Zt2sGDxQlBF4+TgyA/dfqZTh/aKh8nvwR1GjBiNy6jRVKpYkSB/X3r2GMScpUspaltI0fnRv//gMsoTrynTKGprTe9u3SlkV4Exo0ZwYMcWZs9dTOGiRRWPVEJCIrXr1KZVm9bK8+RGMiPeQemhyZqZ6OiRozgMHiwJTdbAK6VKBN5EIDsJzYZ1fzB1yjRJaFIZhGdPHmao00h6DRhMj57dXp39JcjYicP7mDVnEeO8PKlUvjwBzx8zfNhoZs2fh5mpGTEx0UwePwYNw3wMG+aKKjaWO7fvEKeKV3bqFCtWTEncFbIiIsI5ceQgy5auoN2P3encvh3XL5xi9ARvlq1YipVlfh7cvoaz8yi8vKdTobydou1zv/v06zmAPg5OfNW0sUIk1NTVlMRbQXheb4Jg+Vw8w6ixnkyeMYOK5cspOQTRUdEMc3SgUs26dPuxi0IghH6C7AgZqvg45s+YzINnoXh5TVC8GREhz+nTqx8/9h3EV182xKFrV1SmVnh7T8RAX1/JRxD3p3ibwkMCcLa3p0jZ8qjCgjCyKsJP7b+i74ARzJwzneVLllCncXNatvyKe7euMcxlBI7DRtG0aSOFcO3aspGVq/9g7sKFSp7RmcN7mLN4Nb+vXa14qkSy77pflrD70Elmzp2NekIcffv257u27fm5ezd+WzKfY2cuMXHKJCzymSn6iWcTOOVWMiMJTdatCseOHsV+kCQ0WYewlCwReA0BSWhyx3Dw872D4+DB2BQvg7OLK4UK2RAVGcXNK+eZPnMOlWs2wHmog1IR+tKJ3azecgDv6TOUhTI8LBSHvr2o1+wbfu7RXdk19HoTHpOw0CASk9QwMTEl0P8pY0eNolqjZvTo0omdm9awZddhFi1Zgq6uDqcPbGPeLxuYPmO6smtKXeweeuFHvx596NyzDz/80FYhKCJUpaamiY6O9huLtUqlYvfG1ew4fJaJE72wsDBP3g0UE80ol6FKfoyDoz36evpKBd7w8EjMLfIRGR7CqKH2FC5TlSGO9mhpaXLu8B7GT5zFzAXzKVWyGGP79cE3MoFZc2cqHg+RfBwVHa3sdBLeqJjoKCaMdOHG/cckqWuxYOF8LM0M6dK+MxUrlSU2UYuRo8coYbp/r1/BZegw+g524OsWzbh04QKTvLzQ1DFg8fIlGBsZ8uvCmew8dJZly5coCdKPfe/jPmYsFWvUZsgQe3zv3mLoUFccXYfTrEljVq9Yyo49h5kyYxpFCxdWvGcREeI8H5NcU14itREvPTRZMw9IQpM1uEqpEoFUEZCEJncMDOGd2LZhDUt+WY2hsalyQm90dBQhwSGUr1Yd5yFDsLQ0JyY6koVTvYjUMGT06JGKJyco8Dk/df2Jwc6utGj+1Tsnu4tFdesfv7F190Fll4XYuh0RFYn7BC+KF7NlzhRPHgVEMmPWDLQ0Nbn092FcR3hgW7goFatUwcF+ECQlMnm8G5eu36KAtbXwz6CuocnwUcMpUvjNwnvx8fFMcx9Jkp45zs5O6AtPiqjYrFKxduVyVq3dgI2trbKdWZAtiwLF8RjvytNH9xnYbyDdBznxQ+tvSEpMYM3Kpew9+jdz5s5Wigr+e/Ucrq5jMLHIr3hwRG31kiVLM2Soo5KAK8bzfG9P1m7cwY89ezF4wAA0NTXo1bUDN24/ZKyHOy2/bqF4dF48e8oIVxf8g0KxsbZWZOU3NyUwOIKZc2YpCcQjney59eAZFhaWGBoZEhwUQCHbIrgMH05BG2tOHdmL58TpTJ4xiypfVOTMsSOM9/Akn6UlJkbGSn0gS8sCuLmPQScbai597GiWhOZjkXv/fZLQZA2uUqpEIMcJzfZtf7FwwUIlXt+zVy9+7tEjW6ySF3JohAcjOiqSK5cucvfBIxITkovBWdsUonqNqhgbGytYibDI2TOnMclnSblydsqOGZGAu2/fAWrWqo21dYF3a8IkJvL0ySNOnfmbmOhYNLW1KF2qDBUqlkeNRM6ePoWali61a9dOrhETGc6xw0cIDAnDtkhRpTquCJv4PX7EubNniYyKUXQxMTXjyyaNlUTZ18MpIixz6vhhTM2tKFeu3BshqZCgQE6fOkVgUIgiQ1dXj4rVq1OqaGHCgl9w9Php6jdsSD4zM2WH0bUrl5S6L7Xr1ElOTo6N5eK5M9y9/1CpWSeOzyhXoQLly5dTDo4Vtva5fIEb/z5QtpbbFrRRPCOH9u8hLDKOJk2+VHJtlFoxqnhuXrvK5avXQU2D8hXKoZYQS2h4HPUa1CU+NopjR46gb2jKs2dPiY6JRVtXl1q1alGooDizTgPfuze5dPUGTZp9pRCs6MhILl44h+/Dx8nF+9Q1KGNnp9TRyc1nPElCkzVTkSQ0WYOrlCoRyHFCE/DCXzmfSCx41tbWyk92tDxBaLIDCNmHRCANBCShyZqhIQlN1uAqpUoEcpzQ5JQJJKHJKeRlv3kFAUlossZSktBkDa5SqkRAEhqX4YSFhdGyZUulfouhkZEcFRIBiYDctp1lY0ASmiyDVgqWCLyLQHYmBecU/tJDk1PIy37zCgLSQ5M1lrp86RKzZ81CXU2d/oMGUq1aNVkpOGugllIlAii7QtauWUOpkiWpXbdumi9bXsZKEpq8bD2pe3YgIAlN1qAs8gVjYkR5g+SaTSn1klLrTVYKzhobSKn/IQQkofkPGVs+qkQgDQQkocm6oSFKE4iWXmFFSWiyzgZS8n8EAUlo/iOGlo8pEXgPApLQ5PzwkIQm520gNcjjCGQnoRHuV/EjzufR0Egud58dTYacsgPlzOtDjBFhs/e55z+1t6TERKXonfhqTu/L+VP7ygv3S0KT81aShCbnbSA1yOMIZCehuXTxAvv371fO7GnQsLFSQC07miQ02YFy5vQhbHXz6mX2HD2Jw8D+St7BpzZBkERRu1fEJSmJRw/ucfuuLzXr1MLQwOBTu0j3fhF2CAkOIjQ0TKmOrDQ1NeVQTysrq2wj92kpKglNuibM8gskoclyiGUHnzsC2UloNm5Yz3Tv6URFRTPIfjADBg7MFnglockWmDOlE3E205H9e5mzYhXrV/+Gnp7uJ8kVlXt/X/kLtRo1oaKoBKymplQgXjnHm13H/mbSVG/KlC75SX1k5GZxjtWKhfPY+NdOcSKncosgWSXL2uExwQMrcd5VDjZJaHIQ/JddS0KT8zaQGuRxBLKT0PxXT9sWX+SCVIn/igX19VCb+F3K71OuEwvd22Xylb8p4brkE6pf/3uKByIpSfSRvFCKfsS/Rfn9ZGeACK0oZ0S+XNQT3/FaKHI0NN4JwQjdU2SkhGpe93ikPEPKqyD+/frfU5495fepPttLfIT8owf2MmvZKv5cswp9fT0Fu5STuUUfr/f3uizxe/EM4llTfh/w4jnOg/rRpnN3vvv++1enXvs/e8Jjv2fY2ZV7ddbU++wkwqQJCcmYKf0LnVKxU1rTgTiDa9HsWdiWKEOLr79GQzMZZyFPeKFy+lgESWhyfiLPA4RGTFb/ByrXxWrFi/m6HcWkl/N2fUeDVy7aDGSKZ5f6r+v0crbPldilh4ckNOkh9Ol/j44M4/ff1xAUFIJNoUJ06NABXV1dZWGMDA/n7zN/U6d+PU4d3sv5KzeoVqc+TRrUR0Mj+UtetIf377Bhw0blxOw69etSt07yFvu42Gh+XbyM1p07cfHsKe76+tGxcyfyW1jw4LYPG7fsRE1NnZ+6d+eGjw/Fy5TGUE+PHTt20LjpV8qZRMr5TRHh/L58BfWat6CcXdlXpCYxIZ79+/ZhY1uUorYF+WvzZgKCw+jQqQMFCxZUdIuNjmTb1s3YFimLsaEG+w4c4tsfOlGycCHl7/f+vcbmv3ahildRo1ZtmjRp/MYCHhcXy7atW7h794GCQ2xYMLOXC0KzWiE027f8iXn+QtSqXVN55vDQELZt3UrlGjUpX67cK4zu3/mXzZs2g5YO37RtRwkbK+ZPncbW3TsoWaY8JUqUoNGXjalTpw53b17h+KnztO/YERMTE0VGaFAA69atJyg4FBNTc3r3+RkdHV2FBYYFP2XDxj382K0TJ48d5Z/LPlSoWZuvGtZTzpBKrwlCs3j2bIrZlefb775T8oNyU5OEJuetkYsJTSK3LxxmpIsnkdq6aGklD3gNDS069HHgx1ZNcxQ9VWwU6yaNY/mh8xgY6isH3IEa+hYFWbZgJsaGWR9TTg+AxIRY/vplNovW7UNLW+eljqBmVpAJ7uOpXDJ5Ms3uJk4AvvfPYYYPm0SkljZami8nM3VNOvYexE9tWmS3Sp/UnyQ0nwTfe28WhOXhvTvMmDoZdPSxNLfgms8VypSvzLhxYxTS4HvvNitXLEeDJJ6HRJEQF4PvYz/mLlhA6ZIllHyjI/v38euq1ZQsUxZVXCz/XLyIvZMLzZs3w+/Bv/Ts60ClMiW5cecuRmYWTJw6iQh/P6ZMm4FNIVsiQkMIjYjCyNiIEaNGYaynw/ixbnTp0YuGDRsoety+fpW+/QYzfe4cqlet8orQJMTHMGXSRGLjE4kIDiBJQ4eosEACwmIYPXYMVatUITIskDHDXUHDiAf3bhEVn8iIse40qleTPX9tYNUfGylWvKRyiOU/589RpUYdBjsMUk4UDw0OYOakyVz0uUG5CuUVvAwMjfANCOWvP9cpIadxw52wLlqavv36Kd6M536PGTViBC1/6ESHNq2UAzuP79/GwmVrKFq8hIJhSFQMrsNcmDzSmSt3HqGnr4+enj69+vSlc+eOnDy0nSUr1jF1xgwKFyrEtUvnmDNnLhExKuzK2XHt0j8Y57NkxOhRFCtahBePbjLQwYN6tcvh+8Rf0cPH5zq9BgyibevvlJO+39cUQjNrFgVLCg9Ni1e5QeLAzexKjn+ffpLQZM08IA5z9ZrgobxPw0eOolbt2nmwsF5SApeP/8XwobMZOMGdejUrvsqm19M3RF9PJ2vQy6DUuOgwFroOZf+9SGbOm4S5afJJvurqmpiaGue4+1PokqCK4vc57mw9fpfJ06Zikc80+enUNTA2MkQ7E5IFMwjXG5clJqi4fnIrDg6zGTZjEjUrp3whqqFvYID+J8b8P0anT7lHEppPQe/990ZHhDFv5nQiEzVxsB+Enq4uW9atYsehk6z+7VflPTt1YAvuE+fSscuPdOzckSf3bjN+nDv9hgjC0oRrF/9m4qRp/NirH82aNCI8LBj3MWMoVbkGg/v35e9jB3EdNZ7mLVryc4/umJvnIyzQH3c3N6o1aMpPP3ZGkPBNa1Zy6PjfzJgzDz1tDTzdxlCpbmO6duqgPMS2DatZ/ecO5sybg+1Lz4vyHsbH4Ok+nqMnz+Ho5ETTJo0JevGcCePGopfPmmneU1BFhzHCxRHfp6GMHDUSOzs7jIyMuHv9EqPHuCvE48fOHdDS1OTk4f3MnDWXPoOH0KbVdxzdvwu38V4MH+tG0y8b8ej+HebMmMmtp0Fs37RBITSjne2xLlaaAQMGKiduP3v8iGGuLnzbvjOd27fj1rVLDHVypXX7jvz4Y1dITOTu3TvkL1iI2PBQhjnZ890PXZQjL4yMjRXycWjPRhYt/4Pps2ZjYqCL1zg3QlSaeLiPJb+5Of5PHzPJy1P5yJs8YRyBfrfp3msIdeo3pn//PsocPmeKBw8DopjmPQ2LdHJgBKFZMGM6F31uYW1j/arQWpsfOlCtauU3vHFZNyLTliwJTdagLo4+cBhsr7zrU72n0aRp0zS9c7nXQ/OS0IxwmYfrDG+a1K+a5SThnRDIa/Z5O9SVQmgO+cayfNV8LPOZ5rpwSQqh2XHalwWLF5HfIl/WjLgPlKoQmhNbcRgyB89l86hbszL/Dwx8oLBccLkkNFlkhKQkLpw5xsSJ0+jSvSeGutr4BwZyYO9uqtVugIPDIMRYmjCkB1iWxtnZCVNTU25e+YexY8bh4uZO9coVmTV1Ihcu38LBcTAvnvvzyPcOh46eYqjrMOrVrcXaX5aybstOZs+dS6mSJZR5ZtPaVaz4fT1Lly2loI2Nkkuzb9smdu4/xuRp09DSUOOPJbN5HJbEyFHDiAgJwr5vf5p8346uXTsq4bCUJgjNBI/xhMepMWG8m7IjKD4uhq1/rGTt5v2sWLkCTbV4RroOJb9tacaMGa1M2CLf5/cVi9i25zAz5symiK2tsoj7P/VjnPB6lK2I81B7fl0wnd837WXDls1YWVoSHxfHvh1/sWDVOjau/T1DhGbXlvUsWLwC71lzKFfOTgkRJb6M9QcHBWDfpwftu/WiTdu2ytexwOPgrj9fEZrwwGe4uXnQz3EoXzdrmhzKExW0Vy5n2W8b2LV7C1FBj+nZx5Gpc+ZRsZydkkOzd9t6Vq3bxvRZMyn0GglMbUSlEJqb9x5iW7gw6hoid0aHLl27YGtbKMe3jktCkzXzwOdxltNrhMbFeypfvkZoMj/5KwlVTDSP/J4RH696xyrGpmZYWlqgoYSVklsKoTn4IJZlv819RWhyU02GFEKz/bQv8xcueEVoclrH1wmNx5K51K1RCXWRbfly10LWvBZZJ1USmqzBVhUfz+qlC1m+eh1FixYVEV0MDAzpN2CAsujq6ekREeLPd9+1Y+TYsTRv3lxZSI/t38W0mXNZvHwFJoYGOA0cgO+zAKwLWJGQmEDhIiVwcXVS8j6SEuOZPtGdB37BzJ47RwnpiOTVmZM8eBYYgbvwMOjpER8fy68LZ+LrH4XHBHfUSOLs8b38tmEXs2ZOZ+/2Taxav43ly5YqcpND0MlN8dB4jCde04Bxo0cq3g3h8Tm8bxfz5i9j6cpf0NFMVAhN0TKVcXV1UUiVeP5Fc6Zz/vK/zJ43EzNTM0VeeHAQHuPcMLa0YcRwJxZMHc+2A2fZvnsnRoZGiF1Oh/ftfpUUnBEPzea1q1i5+g/mLlxIsWLF3jBoYIB/uoTG/9EDvCZ5M22mN2XL2inkQqWKZ9uf65k4dR57D2wnPvw5vfo6MmfJMkoVL64QmoO7t7D81/V4z5pFYdvkfKG0mpIUPGsWtqVeJgW/TL4W27ZT1oTY2BiSEpPQ0tZ+M2E7a4boG1IlockakD8rQuM4yBOrcnZYmJsqiXk6psXxGDcIw9e+gD4ZxqQkIp75Mnfpr0qc/O1WvnodurZvjeZrCYYKoXFxYs2Z61SuWlGZpMRLXLtJazq1aZKhJLdP1jsdAQqhmT2eZZtOYleuPDo6yTHqBk2/pm2rlmhr5UxSnSA0105sYbD9ZApWKIe5mbGCnYFFWUYO642poX5WQ5Op56RfKAAAIABJREFU8iWhyVQ4XwmLi41lnvcUrj94ypxZ3sqOGDFOxAKWkjNx59oleg8YgvfMmdSsUV25d+Pa1WzZtZ9FC+cTGxWCwwAHvu/8E62/+/rlrhiNV1uZRejHaWB/SnxRj9EjnZS8jMREFeNHDkfbwILhI12U/h7eu81IZ2fqNGmBwxB7xYPx7w0fxoydwIQJY5jq5UW1ek0ZOLDvO+7wFA9NZIImnuPdlLCZKj6WTauXsWH7EZb9shxN4t4lNKp4fl0yn90HTypky7ZQcs5bgP8zxo4YQYlylXEaMoAlsyayYcdRNm7doiQyCyJxaPdO5vzyu5IUrBAaFwfy2RRjiIODMg/4PXrAMBcXvu/4oxJy2rl5HQuXrGTmvHmUKV36gwlNyAs/xrlNYJDLML5u1iSZ0MTHsebXFaxYtZEdOzcTGfgwdUKzcj3eszNGaNJKChYeo7vXfdi5Zy/h4RFExcTRvMW3NGpcL9s8N5LQZM088FkRGqfBkyjXqAGFC1qhpq5BQbuqtG/ZEJ238j/EToJDq5aiUboGDetUIyw0BA0tPYwzuDgK964YkMlVWN9sWjo6yqSW4kUQf00hNBsu3KV5yybo6+qgpq5Jg69bUaNCKaL9fZkweyVDRg6nkOmnJwgnxgQwf8ZMrt7zT3XUaGnp0X2oAzVLlXr1dZhCaH7ddpZGX36pfGmKz9zaDZtQt1bVNwjaRw/FhBi2/r6S3UfPk/jSy/K6LPHlVKNuQ/r07Pbq1/8nNFOp3LQRBQtYKmS1aMVafNekDvq6708O/Ghds+hGSWiyBlhVXBwrFs7l8JmLLFq8EFMTE2WxDg0JIZ+5hbJQHdm3g6nT5zF/0SJKliyh1EeZP2Maz4IjcXMbS2x0OE6DBlOpdn2G2A9S8ixioqKIiYvHxNgY37s3GTTQEa8Z06lSqZLyVS9kTHQbw4uwGCZN8iQ0JIgZU705/89FBto70aVLR+WB/R75Yj9wEFY21qCujaeXZ6p5IAqhcR/HoaNnsHd05LtvWvDi6WPGjByNbemKuI8bTVx06DuERngwLp4+ipv7RNp06kK3H7sqCfQHd+9gztxFuIwaTZPGDdi7fTOek2bgMXEiXzZuxL/XLjF92lQeBMWwY/OfCqGZ4j6Gq7cfMmnKJKVey+/LF/Lrmk04DBuuEJpr/5zF0dGVtp260KNHd0hM4NyFcxQtWRZDHS2GDu5L3abf0KdXL9TUxJZyDQ7t/n8Ojb6WBh5uY4hBBw9PD2wKWPHw/l0mT5hA8fJVcXYaTKDfv5lCaIqWFbucvn2DOMbHRjGwRw86/NwLK4t8rPltNc6jx2AjbJNNTRKarAH6syI0w53nMnTqJBrVraJMNqLGg6aGplIPQtRWCHnii465lZJg9vjmFdRNCmBdwIwNG5ZhXLgR39StpKCcEB/N06f+GFsUwFj/7YTiJGJDA9h3+ASR0THvWKVIyTLUqFYFzbdDTi5DOfAghkUrZmJpZoLYsK2prYWGcBdHhXH84i3q1KyMrrYWSQkJBAcFoW1giIGuNqHBwSRoaJPP1PhV7o1Y6AOf+2NsafkOYUuKj+DsmbM8DwwnKZV94Zqa2lSsUY1ClpaviFdKyGnbyQfMnjcHS/Nkl7WmOLH05TZJ0ecLf390DE0xNUrfM+Lv9xRTS4v/JxQnxnPjyiXu3H9C4mv4pIAojnwvWKgwVat+8QahScmhcVswkzrVKyoYaGpqJdeWEE7/BBWh/s9QNzRVEphzc8tOQrN54wZmzZilkO9+AwfQr/+AbIEmJwrriT59Lp5l8qSpGFtYYmpiquRuFC5ajD59eite0d+WzGPr7kMsXraMAlb5iYkMxWPUMIpVqk2vHt2VPJRfFi9g287d2FWopIz7BFU837dtR906tbhw5iRTp89l5W+/YPoypCMA/evPtcyZv5gKFSsREx2FVYF8nDp+jjEenjT5Mrk6c3CAPwP79SMsKg53zwlUrVolVc9sCqG5dvs+JjraGBibEBocCBo6uI4YQYXy5YgIDWCEi9MbISfRh9h9tGr5Mv7asYsixUugq63Nwwf3qd+4Gd1/7oaJiTH+fo+ZMcWLa7cfYVeuLAEv/LEwM+Hq/SdsXrdW2bZ9+ugBPL2mYGKeHxvr/MRFx/D4ySM6/dxbITQxUZGsW7mUDVt3UbRkKdQTVYTFJuLmPg4bCzOWzZ/DwWOnld1LjRo3onmLrzm6b/OrHBoRLjpz7AizZs1F08CIwgVt8L17myLFSzPE2QnrAvnxf3jjE0NOUSyZM5MLV29QwNpGmefU1NWwsi5I5y4dmeU2nKJV6lEovxk+128zdJjLG7lMWf2iSEKTNQh/VoTmfUnBxw/s5vLRIxiXr8YP33/LvdOH0ShYEp2EIJb8thrdfGVp830LChlrcuzIPv658YBCJSvRuX0bTI0N3ijjHfroJqM9phEQGvFGXRmxuNZt9j2D+3Z7N+TkOpS0koJjQwJYs2kfHbq2xefEYXz9Q7hz/TLq5oWoVbYY506fRGVsRd9ePTDVho0bN6KhocMNn8vkL1KC1l1/xMbU6A2v0IcOl/SSgiMCn7Jn3yHu3ruBrlkRmrdojrWxGoeOnKVuk6Y8vHSKSIOC1K9egdNb1xCapMfZs2exsLHl+x86UMxW1N/4UK3Ex9/7k4LjY8M5vmc3PucvYlq+Kp3atUl3S+eHa5F5d2QnofF9cI/r13xQqVSUKWNH6bJ2mfcg75GUE4RGWdDj47lz4yqnzl5UtNPV1aNBw4ZK/RZ1dbj490n8/IOVQmti905sVDhHDx2gSKnylC5dSrknOipKyVd5Fhiq/NvC0krZri0I0aOHD7h+8xZNmzZT7k9pkeEhHDhwkIDAEMpXKM+1M8fZuv+4skW5XNlSSsjpmd9Dhjo60+irlvTs0f1VSPdtGFNCTrHo0OvH9pw7d5HEJA0aN2mMTcGCygdQXEwUx44extjMkho1arwRJomJjub82dP8e+e+UnendOmyVK9RTckhEk3YJiI8jH179hAWEUmpsnYUsSnAhSvX+O6br5UwmkgUvnj2b67fuq2E7ho3+ZJ/b1zHtlgJ7MqUVuRGRUVy8vBhHj17rpwTVrlKNSpUsFM+JKOjIti7aw/BYeGKfuXLl1OSq6/43KRh4y8V75mw1ZNHvhw/doI4lQoDA2O+btlcySkS00REWAB79h6mSfPmmJmaQlKisuVekI+GjRthbGT03rEscoOuXf2Hfy75oEopkKimRj5LS+rUrM4Yx8HYlimPoZEpX7f8FrtyZbJ8I8nrCktCkzVT0X+G0Mya6knrTt3R0tLE0syMndPd0KnWjHp1KvH76sXoF6rPd/UqsOd/7J0FXFdXG8e/dJeIYoEFFnYHdjs3fY3ZU2cHqNioIBKC3TpzbU232Z2YM2fOVhSV7ub/fs5VN91AQWnO+Xzez7uNe098z7n/+7vPec7zbFxLtHFpPm/dmNOHD0CpqnRuUP2ds+xJCXEEBAQpD+K/i6GRCWbCkvLW2/tDp5wiHv9FnxFurPx+Cb8u8OSJypS+3dqxZsUyEg2LMahvVy4e24tBzTa0Ll2AEcOGU635F3Tt2Izf160g0sqecf0/Q/cT/FzeK2hUyRzZspZTz5Lo2bkdj25c5PLdIPr37MC6eV5olKrOwyuX+GrsBOysCrN8RA+KdPiampXLsnPFXPSrt6F/j87/xJBJx1r+kKCJenad6bNX8vXw0RQ0M8K0gLAICavcR6indPTrYy/NSkHzsX381PuyS9B8ar8/5n4lTtK9e5iZF1R+I+JiInGbPgNdk4LMdHPBQF9fCUwnrBbBscmMdxr76qWdyvp8xyl4yiRFOOXUtfwxvHLCPdGRYbhNmUB0shYFCxakeKnSdOvaBSPDrLPuSkGTOSshbwgakrlxZg/OkxbRtFtXyttYvzIxqqljVcYW29JWfLvEh/taVnSsXZ4K5cuyZ64LurVa0q5dE374fjnGJZvRqooV81ymYGpnT107Gx7cucYjHWvGd2v5SY67CbERrJ/hzI7rz+k/qBdGBvrKV4iGti716tUl6eWjvwXNb/O8MK1sz/8+s2e+lwc6ZRvg0KcDJ3dt5HSMJSOaVlDO2X893hX7elU5smUd2849w91tIqb6H5+HJSkxhq2rfNhy6Bo9e/fC2Oi1L4+GDlWrVGTL6oVEG1rTuE4V/B/f597TAIYNH8qjP0/g5DST5v1GM6Z/F9RUKtY6fkUHt0VYmphy+bdVHHqmhePQAei+djROz1IW2wB/ndvNhAmLade3B2VLvjlyqYZVGRtKFNJjw7yFPLOoRJcGdpSvWFExtedQPfPqeOqPP2JTtiz1GryKPpvXSn4SNInxMSye58PxU38olgBh4TAvaMEIB0eqV7FTtrFOHN7P2g3fKsHvKpZ/vyUgKTGOubNnk6RtwPgxjmhrf3qyyLy2vj51PCEBz+ndpx9TZ7hQpqQVq1cswbZWU3p0av+pVaf5filo0owqXRfmEUGjIizgORfOXyA66VX+FlGEM1qpchUpX8aa8JBA/J74seunb6ndbyQBW1ag91rQfLdhCUYlmtK2VmnmuU6icM22tGpYUxFEeiZmFDZ792hluggLM29iAo9vXOHPh/7vHNHU1DWgsX0DEl+8K2jMqjamS4fGzPNyR8emAY6923N850ZORRdiZLNKjBoxkj6O02nZqAa7vl3Ckb9imekyBqNPCDInvjSf3L3JjbuPSHqdj0aMU6WlT63qdmxbu4i4AjZ0bNFIGb4IWFjQ3ISTW7/lt3M3UTcrjvdURzTU1Fjt0JdWMxZhZW7KiQ1zuRJfiJFD+qPzET/Owg8iMvA55/+4THTiq7wxSr/U1ClbriI2JYsTFR6Kn99jDvyykcq9R9PUpvgnbb+ld37Tc70UNOmhlfOvFesz4MULHty/R0houJJqoUiRIpgVKKB8BCUkxHPjzz9BQ1MJgPf2VlVKoxP13bp2DXVtHcqWLZsnBW92z2rQy+c4Dh5CdfsmmJkY8eD+Q3r1H0CFcq+2HbOiSEGTOZT/OH+OWTNnIPwxJ0yaSt369XNhpOA0sDm88zdiVHD6wB46jpjIk60r0a/ZgjZtmrL1u1VcfxLHFx3bEnD1GMdvPKOhfUMS4hOoUrMWpUoUy1Szb8STO3w1yp1l3y5i50IfTCs3onP7Rizw9kK3bH1G9Wz32kJTmGFNKjB82HDMS5ajWaM6HD54gI5fT6BZjbJoZdbXviqZCwd/54fth2jYohna6uoYFiyGXUlzFs9fQsf+X7P/2+XYNP0fnVvbs3xYV4LL1qNaGSt2/foLXwyZSIem9TLmpNS/5jri2UP2Hj2DvoEWl0+fpMnX42hQRvhM5Mzwe1LQpOFhlZdIAplIQFgQn9y/z5Vr14iLT6RW7VpYWZXIUvEoBU3mTLDwIQsIeKG8r03NzJVYUalt2ebcSMFpYHPywG7u+r3AolhJmjasi9/lc2gVsaJkqVL4P7jLidPnsK5QlWo2JTh/6hj3ngZiaGymHGEuWMAkU7/448ND2Hf0LM1aN+XuhfPoFSxK2dLFuXj+nHISq0aF0jx9cJun8bpUMNNixLBhtP2iCwkqNYqXsaF5o9RVaBrQpOkS4Yh45awv1+89QUNbjzr16lNALZhrAWo0qlWZgHvXufk8koZ1arDWoR/Wn3cjKCga8xJlaN6wjnJUPTNKTEQIpw4e5HFIBJbFS9G0SUNlaytnetAgt5wyYxHIOiWBdBP4J5FxdvgoSUGT7gnL8BtytaAR8SKU6NwihbyamuKp/yYKrjDzioiR4iiEcgxY/PvrtNjiSz/TF/zr0OGv4lokv+6XOJGgdFjZphL9FX2KCnjGGEdHBoyZRv3alZXxiJMPmV5e9/FNygexHSd2fxSOon2lfyrlyPl6p0G0mzGXwmZmyradwjCTOviKy6v/KXObiW1lxBCkhSYjKMo6JIHcTUAKmuyfv1wtaLIfX8b0QETUDA4MxNDETIkZkdOKcIIMC3iBoUWhVzGAcloHs7k/WSlohDh+E/xRCL2sckDOT07B2bycZPO5lIAUNNk/cVLQZP8c/J0ILrtzLL0PhbCGCaesHHvUKBvnMSsFzflz59i9e7fiC9aiZQuaNW+eJSOXgiZLMMtGcjEBKWiyf/KkoMn+OZA9yOUEslLQbNm0ER/vOURHRzNy9ChGjByZJfSkoMkSzLKRXExACprsnzwpaLJ/DmQPcjmBrBQ0mzf+jPdsH0XQjHJwYOQoKWhy+fKR3c8jBKSgyf6JlIIm++dA9iCXE5CCJpdPoOy+JJABBKSgyQCIKVQRFxdHaGio8hdTU1MlUXRqRQqazJkDWWs+IiAFTT6abDlUSSAVAlLQZM7SOHv2LDOmTVdOMk+d5kyDhg3zZmC9zMEna5UE0kdACpr08ZJXSwJ5kYAUNJkzq3kk9UHmwJG1SgIZTUAKmowmKuuTBHIfASloMmfOpKDJHK6yVkkgRQJS0MiFIQlIAlLQZM4akIImc7jKWiUBKWicJhIeHk67du1wc5+FoZGRXBWSgCQASEGTOctACprM4SprlQSkoJGCRj4FkkCKBKSgyZyFIQVN5nCVtUoCOULQ+HiLODQxjBw9WsahkWtSEsghBKSgyZyJkIImc7jKWiWBbBc0t25c4+yZsyQmJlC9Zi1q1KyVJbMiIwVnCWbZSC4mIAVN5kyeFDSZw1XWKglku6BRMpCLTORKknm1zM8a/3rEUtDIxS8JvJ+AFDSZs0KkoMkcrrJWSSDbBU12TYEUNNlFXrabWwhIQZM5MyUFTeZwlbVKAlLQvHYKbtO2Da6urhgaGcpVkUEEhPUtKSlZsb5lVlED1DXUlairsmQsASFoXGe4cuDAAYoXL86SZUsoU9YmYxvJh7WdPnWKqZMmo6auxgxXVxrZ26OpqZkiiSxPfTDPyw0Hp0no6Orlw6mRQ86LBEQcmo0//4SNjS31GzRINSx3bh77vy00NjZladqk8XvzquTm8WZH34WgiYyKylRBI8ZloK+HhrpGdgwxT7eZkJDAkaPHuH//PiVKWElBk0GzHRIczM3r1xRBU7asLeYWFqirq+cMQeM505n69RugqamVQcOV1UgC2UsgMTGRS5ev0Kxla2rVrpPqw5a9vfy01v8taD6tNnm3JJB3CQjftpIlS0pBkw1TnKUWmqSkJJ77P0O8AGSRBPIaAQuLQujp62eZo25W8hPWg3NnTuHmOpOIiIisbDrftCW2m0JCwxCsNTQ00NXVQV09Y7aG4uMTEZZEUbepqTFaqZjs8w3sTByoEDQlSpTA3Ws2JUuVysSWZNX/JpClgkY0Lh4o5aSGLJJAHiOQNaeOxPOjPEninFOWiSfxzIaHhfLwwX0S5AdJxq9csd0UHso4p0nExMRiZ1eJocOHoaWVMZbsk8ePsXHjFqXfs2bNpLhViYwfg6xRISAkqK6uHqXLlkVPT19SyUICWS5osnBssilJIM8RiAgLIiTwOarkZEwLFMbEvFCWj1F+kGQO8tDgl7Ru1Z6oqCjs7e1ZtGQxOrq6GdLYlo0/4eExW6lr05YtlCtfLkPqlZWkTEB83MiS9QSkoMl65rJFSeCjCWzbupl5c+crX/HDRgxnyNChH12XvDEnEVAREvSWoGncmEWLF6Gr9+mHJ4QA3brpZ9zdvV4Jmq1bKF++fE4avOyLJJAhBKSgyRCMshJJIGsIbN74M96zReqDaEY5OGRZ6oOsGV1+bkUKmvw8+3LsGUNACpqM4ShrkQSyhIAUNFmCORsakYImG6DLJnMBAWFhFKle1FBDXUPjvadIpaDJBRMquygJvCEgBU1eXQtS0OTVmZXj+jQCjx7cY9eO7Yqgad2uI6XKlM0ZcWg+bVjybklAEpCCJq+uASlo8urMynF9GoETx48zxsFRCWHg5e1N02bNckak4E8blrxbEpAEpKDJq2sg6wTN5q3ilJN0Cs6rKymvjSvH5nLKa6DleCSBrCYgBU1WE8+q9qSgySrSsp3cRUAKmtw1X7K3kkCaCUhBk2ZUuexCKWhy2YTJ7mYRASlosgi0bEYSyGoCUtBkNfGsak8KmqwiLdvJXQSkoMld8yV7KwmkmYAUNGlGlcsulIIml02Y7G4WEZCCJotAy2Ykgawm8PTpUx7ev09iUhLW1tYy+V1WT0CmtScFTaahlRXnagJS0OTq6ZOdlwQkgfxHQAqa/DfncsRpISAFTVooyWskAUlAEsgxBKSgyTFTITuSowhIQZOjpkN2RhKQBCSBDxGQguZDhOTf8ycB35MncRo7TokO7OHlSeMmTdDQ0EgRhkx9kD/XiBy1JCAJ5CgCUtDkqOmQnckxBOLj4wkNDUVNTQ0DfX309PWVf06pSEGTY6ZNdkQSkATyLwEpaPLv3MuRf4hAcnKycokQMqmJGeXvKpHKUhZJQBKQBCSBbCQgBU02wpdN5xECUtDkkYmUw8gfBMT3x5tvkA99reQPInlllFLQ5JWZlOPIPgJS0GQfe9myJJBuAg/u3+PqlSskJSVSsZId5StUTHcd8obMJ6BKTiY5XcZvFaHBAbRt04GoqGjsGzdm0eJF6OrpfXJnhQDeuuln3N29FDG8actmbMuVS1e9QjwLp0xZJIGcTEAKmpw8O7JvksC/CGzdvIl5c+cTHRPN8BEjGTZ8mGSUwwgI0fDw7i1OnjhJYnJS2nqnUhEZGcnadd8jnCAzS9AkJSXRu/eXWFoWTlu/AHU1dcqWLU2d+vZoaeuk+T55oSSQ1QSkoMlq4rI9SeATCMjUB58AL8tuVREfF8c3K1ewadMWoqKiSIuxRqVKJj4+QellZgkaIZa0tbVQV0/52Ou/EQmrTJUqdsx0c6O4lbW00mTZGpINfQwBKWg+hpq8RxLIJgJS0GQT+I9oNiYmiu82bGDVym+IiYlNcw1ieyczBU1aOyL6UbVKJVxmzsS2fEUpZtIKTl6XbQSkoMk29LJhSSD9BKSgST+z7LpDbD3FxERz/OgR5njPwf/5C8WHpXSpknw1YAAFzM1TFglqapgXMMeusl2qAcTSO6anT/24e+cuYsvp30Ucc42Jjub3X3/h1KlzyjV6enp89ll7ho8cgUUhSzQ1NdPbpLxeEsgQAvfu3GHr5o2oocYXXbpgY1suVXEtBU2GIJeVSAJZQ0AKmqzhnJGtxMXGcvzoYebMmceTJ36KOGhQvw7TXFwpUqSoCK7xn+bEVk9GnmITTspJr2N5/LuxyIhw1q9bx3fffk9cXBy6urr06dubwUOGYGBoJC0zGbkYZF3pJnDi+AnGODqirqaGl/dsmjZrlqrAloIm3XjlDZJA9hGQgib72H9Ky7GxMZw7e5aF8xdy69YttLS0qFmrJhMmjKN8xcrvDRb2Ke1+6N7goACWLFzEnr37CQ8Px9BQn8GDB9GtRy9MTEyyrV8f6rf8e/4hIHM55Z+5liPNZwSkoMm9Ey4ccm/fuo6Plw+XLl9RLB/lytkwffp0ylWsiI6ObpYNTmx9BQQEsGLpYn77badimSlQwIx+/XrTo1cfDI2MpZjJstmQDb2PgBQ0cn1IAnmUgBQ0uXtiExMTuXfnLxbMn4+v72nFp8aycCFGjh5Jp85dUMuCWC+izdu3brB44WLOnj1HTEwMpUuXYuKkCdSsXQcDA8PcDVn2Pk8RkIImT02nHIwk8A8BKWhy/2oQQRGfPvHDx8ebE8dPKkEShS/NaIdRtG3XDu1MtNQIh9+HD+7j6e7OH39cJDExgQrlbBk/aRI1atVCW8aZyf0LLI+NQAqaPDahcjiSwBsCUtDkjbUghEVgQACrVizll19+Q1huzExNGfh1f/r064+2TuYEsLv4xznc3WZx994Dpc1aNaszzcWFUqVLo6WlnTfgylHkKQJS0OSp6ZSDkQT+IeB74hjbtv1CfGwc7T/rSLsOn0k8uZRAcnISwUFBbPzxe374cSPh4RGYmxegR4/uih+LecGCGTYyIaAuX7rIwvkLuHz5irLVVb58eaZOm0LVajUy7Hh4hnVYViQJvCYgBY1cCpJAHiUgTsvERMeQrEpGT08ffX39PDrS/DEsISyiIiPZsnkTy5YuIzb21bHpps2aKNF59Q0MP9k5V4iZ37b9wurVaxHxaETU4nbtWjNk2AisrK3R1paWmfyx2nLnKKWgyZ3zJnstCUgC+ZCAEDVCqP7+63bWrV3H48d+SnqC9h3aMmLkaIoXL/FRzsKi3ojwcHb8uo1V36whMDAIIyNDWrZswZixYzG3KCRjzOTD9ZbbhiwFTW6bMdlfSUASyNcEhPhITEjg5IljeHp48eyZvxI8rHmzxjiOc8LKumS6xYcI6Ldq5QolYJ44yaShoUHXbl1wHDMWYxljJl+vt9w0+OPHj+M4ahRqaup4z/GhWfPmMrBebppA2VdJQBLInwREPJjLly4wd85cbly/iYaGOtVrVGf8+AlUtEtbKgQhjsLDwvjxh+/YsP5bIiIiFcvMlz2606//AMzNC6ZbHOXP2ZCjzgkE/J485tCB/airq9HQvgklS5ZCXSPl5KoyUnBOmDHZB0lAEpAEXhMQWbcfPXjI5InjuXb9luLAW6pUSVxdZ1C9Zm003pNXKTk5mef+z1iycAH79h9SAuZZFDTHafw4WrVph46u7if75MiJkgRyKgEpaHLqzMh+SQKSQL4lII5U3797h6VLlnDk6DGSk5IpX96WAQP707b9Z2hqav2HjRAzImDekkVLOHHiJOLfy5QpzTinsdSt3wBdXT0pZvLtisofA5eCJn/MsxylJCAJ5DICwjLz8rk/c7y92X/gkBI3xtTURLG2dPy80zuxasS1jx89wGX6DCVgnhAzlpaFmL9gPlWq1ZBbTLls7mV3P46AFDQfx03eJQlkC4HAwECe+vkpL6wiRYtiaWmZLf2QjWYNATHPL1+84JtVK/l126/ExcdTsKA5/fv3o3uPnko2bHF1TfC3AAAgAElEQVTN3ds3WDB/ASdOngZU2JQty1insdRr0Egey86aqZKt5AACUtDkgEmQXZAE0krgly2bmTd3HtHRMQwfOYKhw4al9VZ5XS4lIARLYGAA3yxfxm+/71TmXk9Pj8GDBtKtRw9u3LjBPJ/Z3Lv/GBUqataozmiH0VSpWh1NLS25zZRL5112O/0EpKBJPzN5hySQbQSyKvWB2MIQL1LhoJqcrFLGK/7bpxZNDY0POrWK48uf3tK7PRUnJN4X2l+MLUG0mwFjfLtldTW194qKtLYrrosMD+f0qWNMnz4LkbnbwMCAYsWKEhwcQlBQEKhBq1YtcRwzBkvLIujqCQdg9VSnTIxXzHFGFjVQxisyiadWRO6qxMSkjGxWqUsccxdH01MrIjJzQkJihrerpqamrBvx/6KI/xfjF/97898yvFFZYYoEpKCRC0MSyEUEskLQiISF+/bs4fatW7x4/pyAoEAS4+NfRSj+hBegeNn06tuXzz7/ItU4ElcuXVRO6ISEhGborNhVqYzrLI8UXzCKr8oLf1ycnQkICMywdsXrrXCRwvjMm4+BoXGK9QYHBeA8aZLS7gfFlEpFXHwcz/xfEBMb9/rFKV6mKPMiXqCFLMwxNTGmoLk5rrNmUbSEdYpjjouNYenCBZw6JbaoMq4YGxsxYeJ4KlapkWKlSYmJHNi7k3VrNyAiGGdUEWOf4DSSWg1bpiimhDA/c/KEkuU8KSnjRJzQMObmZoSGhKGlo4OmljbGxiZUqWJH1+49MDUzy6gh5tt63nxcCQAfEolS0OTbZSIHnhsJZIWgEUd9Z7k4s3PXfsUR9YMv2jSCFF/QDo6O9P2qX6p+Hb4njjN1ijPCVygjS926dVm7YX2qgsbvySMGfDUAf//nGdks1tZW/LTxJ0zNzFOs98Vzf77q0xe/p8/SxllYzt5jRRIvWGGVsbAwZ/36tZQsY5vimGOiI3GePIV9+w9m6HgLFDBl/jxvatdvnGK9wiq05ecf8PaZr6ytjCoiXs8CHzeate2UYowSVXIyB/buZvyEyRkqpET/tbS0FOvemyJeurVr1cB77lwsChXOqCHm23ru3rnDli1blPH/r0sXbGxsUrUASkGTb5eJHHhuJJARguaNQEnNHC6+ok+fOMQMV0+MjQwxNDJGT18PHW1tdHVE3p9XpvX0FmGhadu+A/ZNmqRqobl98yabfv6J8PDw9Fb/3uttbGwZMmJEqoImOCiQlcuWERISkmHtCr4FLQoy2nGMkpMppRIWGsKKpUsICgpOm6B5q5Kk5CQCA4MRVhE9Xd13qjc2NmbY8OFYWBZJcczxcbFs/vknJVFlRhZDI0P69O1NWduKKVYrtptO+x5nx287M1RYCBHRr8+XVKxWG3X1/247iTX/5+WL/PjDjxnarvIoqNSIj48jLiGB+Lh4IiPCqVzZDqeJkxSn7ZSKsKjFxcWio/MqLpDcmkp9FZ48cYJxY8YqIsbDy4umTZukum0tBU1GPs2yLkkgkwl8qqBJTkri+vU/MTI0xLpUmVRf8MKPJSwsVIl3ova3P8Ar/4CPkzMCjPBj0XqvT4n4ak+Ij1d8dzKyaGhqoaOjk2qVb14w4ks+44qaYi0QyR9T8ykR7Qp/GDEv4nRSeopwbXq11aSG8NV5uwgrjQiil1q74gUv2k1K/MeykJ62U7tWrBXhqySscSmVNykeEkS7GeqvpKZwFkEHUxMHYm3Fx8Wlm3NauIi5EGN7sz2ipaWpJI9Njf+Txw9ZvWoFTZo0U2IEiY8GWVImIHM5yZUhCeRRAh8taF77iWzdsoWdO3dTvUY1pru4KsHWZJEEJIGsIyC2p1YtX8K6dd+ir69PvXp1+XrwIGzLVXivU3PW9TBntSQFTc6aD9kbSSDDCHyMoBFm/gvnzzFt2gwCAwIV87hwGp0zxzNVX4cM67CsSBKQBN4hEB0VwaCBg7h9+7ZyBF9kVi9cqBBTp02lTr0GisiR5R8CUtDI1SAJ5FEC6RU0MdFR7N61i3Vr1/L4sZ/iiGltXYJu3boqp40KWxbJo6TksCSBnElAPIMBL59z/OgxfvllG7du3VKOsZsXMKNd+3YM+PprLIsUlX41r6dPCpqcuY5lrySBTyYgBI2Pt4/yZTdy9GhGjhqZYp1iLz8kJJhlixexZ89+wsLClC/B9u3bKhFmbW3Loasnc/t88oTICiSBjyQgfJiePfXjyOHDrF29hpDQUHR1dKlZuyZO452wtS2v+K/l9yIFTX5fAXL8eZbAuTOn2L1zpxICv2Wr1rRo1fo/YxVi5uGD+8yfOw9f31PExsYqAdj69OlJxy/+h6mZaYonQfIsNDkwSSDHElApHye+J46xetU3XL9xS3EkrlixAlOmTsauStUUE5Hm2OFkQsekoMkEqLJKSSAnEBAOhUrMC1WyEsRLnOx4uwgx8+zZU7w9PTl8+Khy6sLKqjjjnMZh36Tp38dEc8JYZB8kAUngFQERZPDxg7v4+Mzj5Elf5SRW2TJlFL+amrXr5uvkolLQyKdEEshgAm8i5L4vpHsGN5nu6oR4CXj5AlcXF06fOqNYZsqWKcVU56nUqF33vceW092YvEESkAQylIAQNU8eP8bby5OTJ08poQuqVq3CgkULKGhhmW9FjRQ0GbrMZGWSADx5dJ/z587R7rPPlfgSObFERUWybvU3rFu3QXH+tSlbGpeZM6lUWZitU44LkhPHIfskCeRXAuLD6bn/M+Z4+3DgwEHFMVhsFy9cvIhy5SvkS0dhEVjPacwYxZ/I3dOTps2apfp7JgPr5dcnR447XQRuXruKs7Mz3bt3p0v3HkqAuJxUxNHsHb9uU0zWwgG4dOmSeHh4UKFSZbT+tS2Vk/ot+yIJSALvEhCi5snjR3h7enD8hLDUqOj3VV/GjHPKl1bWp35+HDtySAkeWa9hI0pYWacar0cKGvk0SQJpIHDj2hWGDhmu/KC4urnSoKF9jjEBC9P0lYsXcXaexsOHj5Q+enq507pt+xzTxzQglpdIApLAawJi++nBvTtMnDCJW7duU6BAAcZPGEfHLzrny+B7QuS9nc08tYUiBY18hCSBNBAQgmbI4OGEhoZSpUol5sybS9FiVjnCBBwZHobbTFd2796nHM12dBhBjz798+XXXBqmUl4iCeQaAvv37GLyZGfFH66ktRVLly+jVJmyOeJ3JydClIImJ86K7FOOI/BG0AQHByv7t3Xr1MRxnBOV7Cpn64+LyE2z6ecfWbp0OZGRUdSvXxcvb28KWlgoWZdlkQQkgdxLIDI8nLVrvuH7738kLi6OTp07MXnKlFSTXubekWZMz6WgyRiOspY8TuBtQSP2tEXm6Dq1a7J42RIMDE2yTNQoyRvFsW1USnyKp08eM8bBgdt/3cXQ0IApzlPo1LmL3GrK4+tRDi9/EBC/NdFRkTiOHo2v72kMDPQZ6zSOXr37ZNlvTm4iLQVNbpot2ddsI/C2oHmT2Fg4BtepU4uZbrMoUqx4lvRt/97drFu7TjFBd//yS0JDQli58hsl63KXLp2YPNUZPX2DLOmLbEQSkAQyn4B4tr//dj0LFywiLi6eZs2a4ObujnlBi8xvPJe1IAVNLpsw2d3sIfBG0ISEhFDepjQBwSEEBYWgqaFB+w5tcZ3lkSU+K1s2bcTHew7R0dF0796V06dPKzmaChcqyPyFC6hWo5b8csueJSJblQQyjcBTv0eMdRzLtWs3KFDAjFnubjRr0SrT2sutFUtBk1tnTvY7Swn84xQcQufOn9Phs8/x8vLizu07GBkb06NHN74ePARjE9NM7dfbySlFksmAgCBETpiePb9k7PgJ6OnpZWr7snJJQBLIegLJyUns3vEbCxcspkaNavTq04eq1Wvmm48XsfX2prw57ZTSLEhBk/VrU7aYCwm8LWi+/LIrEyZN5eTJ43jMcldEhRASQ4cOoXffvujpZ17gvbcFjb19Q8wKmOH/zJ9Ro0dRq0496TuTC9eW7LIkkBYCwpcmLCQIY1NztHW0FR+6973c01JnbrgmMCCAK5cvAmpUrlIVi0KFUh23FDS5YUZlH7OdwNuCpseX3Zgy3UWxjPgeP4qLiyvBwaGYmZkyetRwun7ZK9OC2b0taIaPHMGAgf2Ji43DyMgYHV3dbOckOyAJSAKZREBYKd448GVSEzmx2lO+vkyaMFEJrOfqPgt7e3sZKTgnTpTsU+4h8G9BM3WGi3IsWoiaX7dtxctzNgkJiUoArBku05T97cxIN/C2oBnl4MDIUSNzD0TZU0lAEpAE0klA5nJKJzB5uSTwIQIpCRp1dQ0lLHlwUBAL589lx++7SEhMpGLFCrh7umNbrnyGx4KRguZDMyX/LglIAnmJgBQ0eWk25VhyBIHUBI3onDhWKbJcr165nI2bflH2dytXsWOa81Qq2FXJ0H1uKWhyxHKQnZAEJIEsIiAFTRaBls3kHwLvEzSCgrDUhIWF4u7qwt59r7LkVqhQHm8fbyVUeUYVKWgyiqSsRxKQBHIDASlocsMsyT7mKgIfEjRvLDVPHj3Cw8OdU76nFVHTvHlTps2YgUWhwhkyXiloMgSjrEQSkARyCQEpaHLJRMlu5h4CaRE0b0TNxT/OMd15Oo+f+CGiCTdp0pBpM1wzRNTs2vE7K5avICY2lv79B9D3q365B6LsqSQgCXwygcTEBESAT/+nj9HS1qV8hUoZuq39yR3M4AqkoMlgoLI6SSCtgkaQEvmWrl66gKvrTO7de6CIGpGWwGHsOEw+MfBeTEyMclT85s3rWBUvTsu27TEwNJYTJAlIAvmEQEDASyaMc+L27du0b9eaKdOmo6mlk2dHLwVNnp1aObDsIpAeQSP6KBJInjx+HB9vbx49eoypqQn9vupL3379MTA0/OhhCF+deT4+/PzTTxgaGfLzTz9QpETJPP2F9tGw5I2SQB4k8OLFc8Y6jObSpau0b9sCdy9v9AyM8uBIXw1JCpo8O7VyYNlFIL2CRmTDFonkDh3Yh4e7JyEhoUoOloED+9NvwNcfHaNGCBqPWbP46cefMDIy4vedv1OosKUUNNm1MGS7kkAWEwgNDmLyhPEcO3GKpvb18Z43H2MTszwbdC/LBE1EeDixcbFZPJ2yOUkg6wn8desmE8ZPIjw8DBEpWATWE3FoPlRioqPZuuknlq/4htDQMIoWsWTipAk0a9kKbe30m4lFThc3lxls2rQVY2Njdu3dg7m5uRQ0H5oI+XdJII8QiAwPZeqkiRw4dIzGDergM38BxmZ59zfg5s2brF+3DnU1dXr26old5cpoaKT82/tJqQ+WL13K2TOn88gykcOQBFInEBERwf37DxT/mPQIGmFRiY2JYf3aNaxZs47Y2FiKFSuKwxgH2nfomOqDmVpPkpOSmOkync2bf5GCRi5YSSAfEogMD8N58gT2H8wfgkb8hopYX6KIk6Pq6uqpzvonCZrx48axe9fufLik5JDzIwHxYGloqKdL0AhO4r6Q4CBWrVjOxo1bFP+aokWLsGjJIipUtEtXQkkpaPLjypNjlgT+IZDfBE165v6TBI3TWCFodqGro6N8dWpoftgEn57OyWslgZxGQJg927Vrw6BhI9IlRF6JmmDm+3ix/bddypdG2bKlmTtvDmVtK6R5mFLQpBmVvFASyJMEpKBJfVozRNDY2Nowe7YXZmZmeXIByUFJAm8ICCGir6+PsWn617owmz56+ADv2V6cPnVGGFCxt2/I5KlTKFa8RJryPgm/NTdXF3bu3C23nOSylATyIQEpaDJZ0FSys2PFqpVYWFjkw+UlhywJpIeAisCAAFymT+Pw4WNKjJoKFcqxaMliLIsU+2BFO3//TcnsHRwcLAXNB2nJCySBvEdAChopaPLeqpYjyrUEkpKSuHf3L6ZMnMTt23fQ0NSkRYumzHCdiYmp2XtPLG3ZtBHv2T5ERUVJQZNrV4DsuCTw8QSkoJGC5uNXj7xTEsgEAko04SuXmTp5Ko8ePcLQ0JA+fXoxeOhQ9A1SD7z3di4neWw7EyZGVikJ5HACUtBIQZPDl6jsXn4kEBcXx4H9e5ntOVsJvGdiYsyIkcPp3qMX2traKSKRgiY/rhQ5ZkngHwL5TdBER0Xy/JmfAqBwkWKvI62rpbgkMsQpWPrQyMdNEkg/ASVGTWwsu37fzqJFSwgKCsHIyJCpUyfRtkNHdHR0/1OpFDTp5yzvkATyEoH8JmhO+foycfwEZSve3dODRvb2mRNY782xbSlo8tLjIseSlQSEqImOjmL/3r24zHBF+NdYWhbGwXE0HT77HE0trXe6IwVNVs6ObEsSyHkE8pugybLUB1LQ5LzFLnuU+wgIUSNSKqxavoyNP28mLj5eSWbp4upCi1at3/kakYIm982v7LEkkJEEpKBpkWouPLnllJErTdYlCXwkARGjRhznXjDHmx279iqhvu3sKjJnjg9Wpcr8ffJJCpqPBCxvkwTyCAEpaKSgySNLWQ4jLxMQIuaF/zMWLljA3r37UKmgdu0ajHMaT4VKr1IkSEGTl1eAHJsk8GECUtBIQfPhVZIrr1ARFxNDTFwCRsZGaLwnaVeuHF4+7LTwofH3f8ac2bM5cuSoQqBGjRp4z/GhUGFL3sShiY6OlnFo8uH6kEOWBKSgyWeCJvj5E/xehlLapiyGenp59wlQJXF85xZ+P36ZcVOmUbRACvFLRA6h5w+58+gFyeKT/3URwdwqVq6KgW7Kx4NzLDSVisiwYG7fuUdCYtI/3VTXxLZ8OQqYGOfYrqe1Y0LUPH70gNkenpz0Pa3sF9etWxvnadO4ceMGs71m8/JlgBQ0aQUqr5ME8hABKWjykaARDpYnf1nDN7+dZpq7K+WsrXLcUo6PiWLHlh/QLVaZ9s3rvzcy7Hs7n5zI9nWLWL39BEvXrqe05X/zCyUnJbJ33kgW7buLmoam0pY4wa+nX5BV366goLFRjuPzvg6pkpK46nuAaR7ziEtCcZhVIhJo6zHVxY1GtSrnqvGk1lmxji/8cQ7H0Y6EhoYpoqZFi2aMdRrHwvnz2b17nxQ0eWKm5SAkgfQRkIImPwma5GQO/riE5dtO4uYzm8o2ZdK3WrLg6ojgAOa6TgKrGriMS1/W5ne6l5zItnWLWJOqoFERH/GU4Z17U6PnULp0aIGmhrpShZa2jpJkUUtLMwtGnHFNJCcl8MehnUxyXczS71dTyNgERaKpq2FsZIy29rvHnDOu5ayvSQTeO3zoIPPnzufp06fKfPUf8JWS4HLnzj1S0GT9lMgWJYFsJyAFTX4WNGWsuXX5HPdeRlGtbDFOnDlPaEQsZStVoWGdqtz54ySn/7yPjp4+NeybUal0cTTUIPbFXXafvkX9WnZcPH+eJ8+DMDW3oEHT5lgVKqAs6uTkJIL87nLw2BnCIqOV7MmlK1WlYZ2a6OtooZacyMHft1OodHme37+NX0gk9g0qcmzvCfYfPECyUSGa2zfApkY9WtStRnJCPDcvnOHsn7dITErGxKwgbdq3xczICDXFDKHi6YM7HDl6gsi4BCwKFyHozgV+PXqVpetSsNCoVLy8dYaew6cywXMBLetW+VvQvHkqY4MfsHvfearWq821MyfxD43E1NKadq2aYmKor1yWGB/L9XO+nL12R9m2MjKzoHmzplgWMicmMoyjh/ZTytaWhzdu8SxWja5ffIaRvg7+j26z75Av8YlJFCxiTTmrAty4/4I2rWpyYOs+bOo2okpFW9TV1YgKDWLPnn0UL1+FetXtUv3ReCNoprgt47vfN1O0QIFXFpo8WISVJjEhgV07f8d7tjdhYRHKcW5dXR38/V9IQZMH51wOSRL4EIHYmGh2bP+FGzdvYVOmNJ26dX+dLiVv/hLm6zg0qn9baEoVZdv6pWzYcYyC+vqUqGhH2Iu7/HU3gMZN6vL88TMsS5bmyqkjaBW2Ya63BwVNjXhxcReDXVZhaW6MWbFSlDY35NCxYxiXqo67yxSKFjDixYOruM/0JBI9qteuQ/TLB5w8+yf1O/Zk9MAvMVaLYfzg/gQm6pCopknhosXo/FkTDv++i6PnLoGeCeXL2VK/7Rf0aNeUq8d2M3fZBuzq2VPIWIerZ06hWbQCzlPGUtBQj8jAR8x2dcEvXItadary8Op5bt17RJKeGctS2HISLM7t/Zkp875j3pIl2FoXV4SRyPAstjDU1JK5sPUbZqzdT4USZhgWKYm+RgT7T/zJWGcX2jauS2J0GNvXr+S3Yxep27gpekmR7NixkxbdBjJqUF/8719g8lhnVOq66JqZU9SmEqOHD0IV8QQPNy8wK4FtiUL8ccqXsNhEDC1L4zNrHJ5DBlC+02CG9uuOtpYmN3x3MXnmAgaMd6Fza/sPCprJM5eyesv3FDE1Va7V1NRCU0sT9VfKL0+VmJhofI8fxc3Ng8DAIGVsVlbF+axDe/oNHISRInjz3rjz1CTKwUgCGURApUomIT4ekQ9OQ0MTbR1t1NReWd7zYrl58wYb1q5VTnn26NUbu8qV80+k4JQEzda1i5m1chujJ0zhyy9akRAdgUP/HvjFG+Ll5Um1imXx/f1HZq/bzpIVKyhXqgTPL+yg0wgP6rXvzowxgzDS0WTHhsXM/2434928+aJpDTb7TGON7z0WLJxHhdLWJCfFsX2ZCyv23GLxkoVUsS7AuIHduRpmgOfcuVS0Loq2pgYRIQHMcZmMmlV1pjoORVdXF5IS8Rw/Ak2b+jgM6ouhng43T+9jhPMCXH3m0bhWJU5tWcOcn/Yzw92dKuVKExX6DI+JE7kWEM/yFARNcmI8v69ZgOc3m9DTN1CyOgtF06lbH4YP6YemKo7V3q6s+HkfHXv0Z9yYIcQEPWWswxhqfzmMUd3acevsIZym+9B92AT6d21NXEQwbiN7o2bbAtdJY7h34nuGT11B8RqtmePiSMECppAQw49e49nzEBbPn41FAWMC/zpP/6ETqNDsC2ZMHMnKKQOJK9mYyQ5D0dVUsd59KtsuBrJszSJKFvqvL9CbB/WNhWbcNE/UtHTQ0tRUFrptdXvmek1FV0uD6KhY9Az089Spr/j4eL5dv44Vy1cSExND4UKFmDbDmeYtWyvjl0USkAQkgbxIQBySiI+PU3ZAxIf4KzeJfJLLKTVBM2/nn2xct5QS5sbExUTh4jiSMKtazB43GBN9bW6f3oeD62K8FiykegVbXlzcQdcpq3H28KZd7QrKF3DQtT30GOJK1yHj6PN5MyY7jiaieE0WTXfA1EAX0fZV330MHuvG9HkL6FDblnEDv8Skfk8mDOmNga6Ost4igl/iPWMS6lbVcRk/SnnxxkaHMLznl9To2IfGtauhpalBbMBDxk33ZsgkV7q1a8L6WU6ceZ6MxyxXilgUQJUYz9Y1C9mw83SKTsEJUSEsme7AzktPqd+wITqamqjUNWnZ7nPq1ahIQmQIXs7juRSsy+I5M7EqYsGLx3cZN3Y8XwweS6emddi0eBqbzgYwaewQwgID+evmZQ6dOM/A4Y583qYxW+fOYN2Ra8ycPZv6NSorL9dHNy8ydtwUmvYYwvA+ndHSUCPG/zpf9nGgxUg3hrSrxY6lrux/po6n6xS0ogOY7DSR+l2/pmfHVui+xw/mjaBxmuZNg5bNMdDSRl1Dg/I16vNZq8aQEMCalZvpMXQYBY3yzgk3EaPmtO8Jpk+bgb//c/T09Ph60ECGDh+uWKdkkQQkAUkgrxIQ2+9vyvus0XkuUnBqgmbBvptsXbcMS1MD4qKjcHNyILJUPdwdvsJIW5O75w8xcto83OcvoGZFIWh20nXaBlxn+9C6uo3CMvzpGfr2GEvrvsPp80ULnEaPpECDz3Ed0Q99bU0E9AeXTtJz0DhGey+kR4PyjP/6S4q0Goxjv66K9UCpJ+glPjMmomZdHdfxo9EQPiThj+jXsTd2bb6gsk1pxa9ElZxIWHgktRo1o0JpK5ZNGcXNeH3cXWdgISwh73UKVhHy7D5OQ4aiU74lPm6O6Ou8OqItzJOi/qCnD5jkMJy6/xvEgB7/Q1NDjTtXjzDVeQHjZvlgZ63DmC96o1uzKY3qVCYmMgqDgpbUqGJH8aJF0FTFM33MSALMKuAx2QFLM3FsXMXZg1vwmP8dzl5zqFOlPKrkJK4d2Mz4+T/j/e0GKpkbc3HvBiasOsqShV6EXNzNqt2XmeU2HRvrYu99Jt/2oVm//WeKFXjlz6Sc3lJTU8RqYFAIBSwKKdawxKQkIkOCCE3WwsrClIigACKTNShayBwtDQ0SExMUv6CX/k9BUx/LwhZoar6ap5xShJjxe/SASZMmce3aTWXuOnX6nOEjR1PY0lJuN+WUiZL9kAQkgWwlkM8EzXIsTfX/ETSl6+M+ul+qgqbLlDVMc59N+7qVUFNT8fT0dr6aMIdeIybSvU19JgoLTUE7lnpMxMRAD7G3eenoboZN8sJz8RKaVSmJ08DuaRA06sRERTK89/9oN3gynVo2+vulKkSSsECQnMw3M8dy6mkC3l7uFClkjiopgc2r5vPtrv9aaISw87vxB4NGTaDthLmMblvzPw7Bj64exWGsK4OnuPNZy0aokuI5u9ED7603mbN8BRbJD/nf56PoOcmN3p83VqxGwtQnXqhCPEQGvWD0sKHU6NiboX26oCP6qUrg8K+LWfTNMbwWLaaCjTVhLx4yd9pE/owyZOO3q5TrHl8+zvDRrgya4MCJ7Zuo2L4vvTu3xUDn/daGDzkFx0ZF8d3KNXQfOoirR/aw8/JDTBLCeBH0ggp2NQn3f8Q9/wCadvySrm2bsPentdx8GkpY0HMiwiNp270P7Vo2zjHbOGL+7/51i0kTJnLn7n0leeVnHdoybsJECloUSjWnSbb+qsjGJQFJQBLIBgJS0LxH0Hwx3JMajVrgMHwAZSyNWTPfm+0nrjPDZx71K1mzaZkn63dcwHGmO+0aVCM88ClrF8zF934ECxfOplOtPFQAACAASURBVJS5LmNTEDSRwofGdTIvtYsyx3USiUkqdLU0WeDsgJ9aYcY7OVLcwhQS47j+1wPK2NoqL/rjv6xm/vqdOLrMolHVcty+cIrlS5bxMFLF8jXr3olDI+LPXDmxj3FuS5m/djWVihf+22FWCCR1Nfhj2zdMWbwFt4VLqF+tAvFRgSwcPpjLumVYsdgTtagnjO7Sl8JtejN99AD0dLUJfPGMWDVdrItYEOB3j9EjHOjlOJXPWzZ6taupSsR3/4+4+/zIuFmzaWBryfc/rufb736hYv2WfLPIS7FIhT27xbCvh5Kga4aOUWE8vNywLvZha8MbQTPZbRnrt/30ziknsd0VHRbCHBcvRsycxqlN69lz8QnOLk6E3vZlwZrdOM1wJuaOLz/6PsR92nh+mueOv641w/p35cWVIxy68oQho0dh+Hp7MBueyb+bFGImIOAl7jNdOXbspGJNMjExoWRJawoXKUr79u1p1bp1dnZRti0JSAKSQI4hIAXNewTN/5wWKNsoUZExiqAIeBlA+0HjGDOwO/paGrz0u8P0sWO55BdByWKFiI0MJ16lxUSveTSyK4NOUqRy7b+3nOJjwvlh2VxW/byHItbWVG3dmakDu/Hw8jEcxk0HIwvMjA1QJcbxIlaDBYuXUK20JREBfiz1mM7Ba08xNTYkPCScCsUK8jg8ngWr3xU0SQnxHN7+LTPmfEOR4iXQ1X4dEVhNk76DR9GmWU3WeE5l86UQli3woJxVYSKe3mbAUEesW/Zi7ph+JMRGsWmVB0t+OIRVieJoa2kRHhpM5yGT6Pt5E55ePcTo6Utxnj2f+lVebcuJ8uDaeUaMGkOUmi7m+joYmhiiFfmUEva9mDFuOBrCpyYyiMlDB3P06mPGuc2mR4dm6Gh/OCaOEDQXDu/EafpszC2Loqfzyi9JpaHDMAdHqtmUYK6LFyNnTsd303quPAXnmQ48uXWN1es2MdnTlegbR3FZv4/5Hq5sWeKNZZ32tG5Sm8SXt1nz86/0HjqOAsYG2f6QhoaGMGG8E3+c+4PY2DhKlChG/fr12LVrDzExsYwcPZoRI0e8t5/CavjW9nO2j0l2QBKQBD5M4M0W+oevlFe8TSDvCRqVikc3LnLl7jMa2DfCwsSQ29cucfFhEB3atMRIV4uk+HhOHz9CvHER7GtUQktDndDnjzjke5GGTZpQ2NxMOeXU1Xkdk6ZNxyzkPg9DYyhRuix1atVAX1dX2XJJSkokJDCA40ePEh2fiEqlRq1mLSltWRBtTXXUEmM5vHcnhiWrUKOi7d9bPuIlEx0ZwImDxwiKTsK2Wm1qViiNECEPbl3hj2t3lWzLoo0qDVtQwaoQmhoaCKvLc7+H+J4+T2xiMmXLV6KobjJX7z7BvlUbxTH5TUlOSuLJ3VucOPMHKjX1V34WwoSioUP9Js0pbWnCHyePEpCkR+P6tTHU1SY6OIADR09QrFJ1apUrpTg5R4UGcurIIQKiE1GhhlmxkjRvUBtdHW0CH93m1JW/aNi0OQVN/km7kBgXw8M/fTl5zQ9dbQNKFNJi5ngXek2bQ7//tVK27/zvXcd1mgtFqjVmzMivMTU0TJMviGAX4u/H/iPHSUgSjF6f8NHQwr5JE8z0NJkzw/O1oNnAVSFo3Bx4fPMaa9YLQTOT6BuHmb5uHws8XNm0yAsd2/p0at+M0Fun2HrwAgNHj8H0dQye7Pi5EJaZyIgIvl2/lg3rvyM2Lo6iRS2ZOHECz1+8YMH8RYhcTqMcRjNy1KhUuyjqESEG1NU1lNNtskgCkkBOJ6AiLDSMSpWr0verga/cDf5VlN/2x4+IiAjH0NCQEtYllePbskCeEzRiUoWfgfgsFYtBvMjFAhCOn6+2WtSUvyUlJyP8pt+Ezhcvb/HflB9/VK8EjXAK9ppN8yplFIdfsaUhrn+7iP+elChe9q+KOBr9dywUERgtKUl56Wq8jtD75l7xYk5KevX1rK6h/vcRYyFklP6/qU/0+a1jueLvYjyiPWU8SoC/ZNSVtAZv9UylUsb8dl2v/qqmjEFUmShyIam9+ndxqxiLqFv88U2iy3+P781YFK6CoUqlMP67j6okbl/YR6BRJeqULqqItB+WzmDVrlts2bQB68IWJMT7MfmrUUSXqIbrJEcKFTBV/HLSWpSAc4mJ/7lc9DlSbDmlQ9B87z2D3RfvUKpsGUKf3KZxt6F81b0jOlrZd3JIHMtevXI5P/7wMxGRkRQrVpR58+cqGbe3//IL3rN9FEHTrcsXuLh7pvpjJjh9u3opXXv1l742aV1c8jpJIBsJJCclc+L4Ee7cuc+wESNSfG6jIsJxme7MkaMnaVivJu5ePhibmsmPFvF2U719HiqdE+k0dhy7d+2ikp0dK1atxMLCIp015MzLxYv6xeU99Jn5PVPdPGhRNeelT8iZ5ISaTOD0ju/xXLWZ+IRXgqlwMSv6DRqKfd1qaKrBD4s9+eXYn0ye6U6dyjaK9SmjSnxsDA/vP6JEmVKE+j8jMk5FGdtSREeE4+fnT5lytiRGBvHXkwDKly3F93PdMLWtSQmroiSraVK+YiUlQnJ2BehLSIhn6+ZNLF2yTMnhZGZqwmTnKbRq3RYdHR02b/z5b0Fjbl6AnXv2KH41KR1lFI/292tX0POrwUowRVkkAUkgZxMQH6DHjxzi+o1bqQqa/Jb64Mzp00ydMlX5jXNxdaFho0b5J7BeRixX8SKIiQjk+vWHlLarhLnRqxQAsqSBgEpFXFwsgS9fcPv2LXRMLaloUxJDAwPla0NYpq5fvgAG5pQrY60Exku7bebD7QtLm7BeicUv/lkIKmE9UqxPiiVLnMRKJjlZ/HsSP8zzoGidNjRpUFM5WaZYq7JpeyYhIYE9O39j3twFBAQGYWJizMQJTrRp/xl6+vpKv94WNMbGxuzauwdzc3MpaD68NOQVkkCOJyAFzX+nKF+nPsioFStehso2lfpr/5OMqjif1KNsjSULC436fywwwvfoVSyc7I1wK7bX7t/4E/2CxbAsbJ6t/RGRgPft2c3SJUuVRJRia3D4iGH0HzAQfQODvwWLFDT55AGSw8yXBKSgkYImXy58OehPJ/DGavOOD9CnV5vuGoTwu3r5MmMcHQkMDFa2h/r370v/gV9jbGL6jvVFCpp045U3SAK5hoAUNFLQ5JrFKjsqCfybgBBV9+/8hdtMV87/cUmxEnX64jMcxo5TAuf924olBY1cQ5JA3iUgBY0UNHl3dcuR5WkCQsw8efwQT3cPTp8+q5xIs7evx3QXN4oULZpiBl0paPL0kpCDy+cEpKCRgiafPwJy+LmVQGhICD6zvZRAeWLbqWLFCszy9KRMmbKpevFv27oF79nehIdHIJ2Cc+vMy35LAikTkIJGChr5bEgCuY5AUGAAC+fPY+/e/URFRVOlciWmODtjV7mKEssotfLo4X083GZx4uQpKWhy3aznnw5HR4Tx6MlTSpSxxVAnfwZ9C3n2kNBEDayLF0vzgQMpaKSgyT+/EnKkeYJAfFwsy5ct5fvvfiQ2NlbJ8O3u6UHdeg1SjAz69qBFEMeZLjPYsuWXTBU0iQnxnDx8gAQjSxrVqoKe9qs4NslJ8dw6c4pwHXNqVqugHLvPiOL/10XWfreDdn36UaN8qQw9yp8R/cvIOpITYzmx7XsuPU2i/+CvMDXUy8jqs78uVTKXT+1l/pqdeC2aRzHjt8YnwjrEhPLT+nVoFalIr05t0vyyz/6Bpb0HKlUCm7ym8cTMjjGDe6b5OZGCRgqatK8yeaUkkM0ERITf7dt+YdWKVQQGBipRgB0cHWjTth3ar/NSva+L4qj5TJfpbN6cmYImmdDA43zZYTJR2rr4LFpCvWp2SjRnkYdshcMQHurb4uo+GZM0xGiKjYrgwL692Favj22p4imKlWuHt+OxejudvhpB97b18rSgSYwJ5WePaZwJ12HqtOkUK2SaoatS+GY9f3iH87cf06F187+jfmdoI++pTJUUz571s/nuYizfL56FluZbgTNVyUQ+v8W06e6UbNSZkX06p/llnxX9T05M4OyxgyRYlKaBnS2a6Yhg/k//VCRFvsRx6EiqdhnKV583R/ttBu8ZiBQ0OUDQFC9enL59eymBwGSRBPIyAXHEu1TpMthVqZbuAHzix2rvrt9xd59NWFgY+vr6TJzoROeu3ZWgg2kJ6Jc1giaJoJeH6NZ6IrFaWlRo3J6FHs4Y6WoTHx3GoqFf8dCgHO4+0zEz/ieHV2rzHuD3kFFDB/HZ4PH0/rx1il/kMdFRRMfGo6eni75eHrNY/AuMSLAaExVFfBIYGRv/neMto56bpIQ49m5cw49Hb7B22Tz0dP/J8ZZRbbyvnsToYFZMn0hA8Ya4OH71rqBS0qvEExIaga6+gdK39KQ9ydT+q1TEhgcxctAgyn/Rn1FfdkRP6yOimKtUhDy+xagxkxnk7E7jmnZopDFYpxQ0/53hP86fw2PmTOV3w2nCROo2aJC5kYJFniIRlv1N/p9MXXSyckkgGwmIH98uXTrjNGlqukzliQkJnDh2hNmzffDze4qOthYODqPo8mUPjIzS/iGQlYKmf1cP2rRuzO8HT/D1ZA+6tq5PUmzEfwSN6NPLZ485duQYsUmgqa1D3YaNKGVVlJDnt9n00062b99Gudr2VK9UjlqtOlK1ZOF3rDCRLx6w/dBZajdrQ/kiZkQH+3PokC9ValXn0e3r3PcPIlmvAB1aieSxpko+NpGs9e7VC/hevokaKgoWL0WjBvUwMdDl3tXTPAlOpLA+nL92B3MrGzq0tFfuuXn1Mlf+vE5isgqTAhY0btoYM2MjRVAGPHuM+AF9GRyJChXFStrQsEFd9HW0UCUn8ezBHQ6fPKtEmtY1NqdNq2aYGhko1wY9f8bpo4cJjk1GTUOd2g0aY1uqxH9/fJOTeHjhABf9E2ndpg36mmqcO3EU4yKlSA5+zIXbj0hGgyYtWlGyeOEU03AIK0zQcz98Dx0mNOFVANBajZtRylyP37Zu5cTxAzwIVqNj+9ZUr9eQ2lUqKHna7ly/yoUr10gUUbR1jWnVvDFFC1koeeDCQ4M4fuwEJUsU5c9rN9AvWJR2rZqhgYrH9+9x4dIlomLj0TcwpnHL5liYmCg54RLi47l89iQ37z1GQ0uX0kUtWLdqOU2/nkjPFnXeeU5EpPBHN/7g5N0QOrVuioGWipOHDmNUthL60cH8cekqiSKBbuPmFDZQ4/jRgwSGxlKgcDGat2yGoY6W4kDvu38HFqUrkxj8lEu37qGhY0DL9m0oaGys8BLBOwP9n3LW15fg6HhUmjrUrF2bSjallPkQLA7v+ZWSFStz/9p1nobFUtG6IBcvXmXL1u3Y1WtEFbtK1G3elspWFoiUKrcunOHPuw9JTOY/6yY24gXHDp/EPzgcbV09ShbUZ96ytbjPXUiFsqXS/IslBc1/UcXGxBAY8BI1dXVMTc3eCTT676s/KZfT5IkT2btnb5onS14oCeRWAiLysRAlIpFojy+7MXWGy+tEph8ekXj5HD58iFkz3Xj54qWSYqF3n96MHD0aA4O0ZRl/00pWCprBveYxztOH39bMJRATvL09MNGGxcPetdD4XTvNDBdPitdoRJmihXh4/TzXHkUw0c0FC1UAXu4L+ePaDQoWs6a4ZVH6Ok3EvlKZd75aH53fQ5+pSxjk7M1XTSvjf+MUkye6Ea+pRwGr0tiWMOHXX/dRoXEH5rtNQlstiSsHtzNryQaKl69D+SJ6XLpwgVqd+/N1l3bsWjubn/edQaWuia6eMRWq1mXsyH6c/WU9izYfpE6TplgYaeO7ey8G5Wrh7TYZXS015rtM41F4MtWrVCQxPIBtuw/RY+gY+nRuS2yIH55uM6FwBWyLmBH09Cnte/TBtrQVAfeuMm3ydNSLl6N25Yo8v3OJy3eCcJo5k3p2Nu9a3xKi2b98PN+ci2bB0mVY6KhY4DqF6/f8UekZ0axpXc4dPIR/oh7e8+dQ0arwfxZZfHQQnpOm4K9uRt1q5dEIuY9m+Ra0rWzBzGkenDx7mcKlbShRvAhd+g6gcc2K7NiwhC17ztOiQxvUk+I5uHMHRas1wsfNGW0tdW5c2MvkiT6KUDMyNaZsldqMGT6AOxdP4DxzMbUaNaCUVTHOHjuAf6w+K5fPx0wXNi31ZMvxmzRs0gT1yCfsPXiOeHVtlnyziso2Zd6xwAjxs95jPH/EFGD2tPHoxAYyZswkShU15kFgInYVy3Jw7x5MrCtQ2FAdPfOiqIW+4ODJizjM9KZnh8ZERzxiWJd+aJkVIUnHiJo1KnBi7x7CTcvz/eo5FDTQ5uzB7cybs4qilatTuUJZLvke5fazCNznzaNuZRuiwu4ysHN/NE0sUNPRx8SyOA3Km3PwyBH+vB1A2XK2WFjbMGaMA6UsDNjz0yp+2nWGWvXrY6qvydG9O9Ep14QV7uNJiA5k+sSJ3H4aQYtmDbhx6Sr3Hj/GoIAlS5cuxqrYf+cvtV8NKWg+/Hv6vis+SdCcPuXL48ePPq0H8m5JIBcQeOH/jG83/EBcfFy6BI0QQo/v38F52gyuXPlT+Trs+r8vGDRsOJaWRZSvjvSULBU0veczad5SjKLv4jpzAT0dp9KmYWWWjRj495aTqXYiC1wncSNMF09PN8wM9Ah5+QSfGdPQs2vGjNH9efnkIY7Dh9J+0Fh6dmyNtrb2f6y5QtD0nrKEQdO86f9a0IwdOx7rBp1xGNYfM30tfL+ZyoLD/ixet56CSQE4DuhPwXqdcBk/HF0dbYL8HhCtpou1VQl2rvVi8Q8HGTZpKu2aNkJXR4uXD64zYrgjTbt/zZB+3dFQJXHjzEGmeK3Eeelq7G2K8vjJEwoUMEdXW4uE2Gh8po3jjnZpFriMR+V3Cff5K3Bw9qSEpQXCMq187cdF8N0CNw7dDlcEiIWhHgmRQcyaPB4NW3tcxwxGW+st5+kUBM2c6WO5EqiFy1QnypUsjv/1U/QaOZ2J7j581qw+Gv/y5Xh5fiuOczcz3XsBZYsKC8urnGViNf119gADx3gw3mcBretWQldbm0uHf2Wa13L+N2Akvf7XBm1Nda7sWYPPT2dYunI5hUx0OfPdFMatOMNgh7F069xeyTifGOrHjEnOWNn/j16dWmGgq8XG1QvZvO8My9auB7/zjJ8xn3Z9R9GzUytUsZFs27CUzQcvs3LtGopbvurbmyIc4l2HdcOsdidGDuhN8KMbODqMId7CDvcpDpQrWYjv5jixcsd1eg0ZwZA+XQm4ehInp6m0HDqJkf26EnJpIx0Hz6daszaMHTmUEsUK8esyV5Zt82Xp+p8ophnGxMkzMLJtyKTR/TE3NcLvymEmTnGnce8x/J+98wCvotji+C+56b0nQELvvQhIV0ClSJcmvaeQRhJSSQ+phNC7ig1Q8KECiqIgIIJdeq8hpPd6c8v7dkMQBCRIS2Dn+3w+c3d2Z/4zu/vbM2fOcZ0ygszD6xnmup7Orw3B03kGtWyt0UDFoeVzWfmrisiYKOrXqhjjE/u2s3DJ+0z38qVXl/bISwtZFRfO99fg89WRfPfJGhZv/Y3wiGA6tGxEYeYNotydyTJpzOLFUVibm1b5FpeApspS3fPARwIa4WEtFUmBF0GBk8eP4jjHidzc3CoDjWCZuZ58DR8vL04cP4lSpaLvK70JjYzEwtKqSj4z/9RWsBIJu5y2bv3sCe5yqvChmTUhEb/Fq2jdwIaNCQEcSpERG+LJR76ut4BGN+cynq6u6DTthpvTLHS1NBGcgD/asIKzZeZ8kBROTmoyLrNm8OZsLyYOG3DPpboKoFnKzKC4W0DjLcCIUxjj3+iFTENJ7vGNjJu3leiV6zDOOceYOV54RC9j3GvdxRe0oHdl+XzdQj46kkpidAQON51u/zr4DR4+Qcz0CaJXp3ZiotSsq6cJCIuj4/QQwsf3AaWCorwcsvILUCvkvLc8gSOlNqyPCcK4LI3Y0GCuatXBa9ZEmjVphKGBPsVpVwhxm0WeVUt857mJ8CK0ZePyWE4Um/BuYjgGerp/D+U9gGZRqDdFtbuwwGkC+rq6lGafZ8AbbzPTP5yxw15D+x8Z6XPO78PNOxaTNq/gNnUcjerZi5Y/cTnm8w8IXrmNVRtW09Shtrgcl+A/lwPXYFlSFHWtzcXlvrSjW3GP2kb8suXYGpQTNf5tTps1Ii4+hrq2FuIS25HtGwhe/TkhsbHkXT1DSrKwtLif9oPGMWf063wcF8Inf2Swdu1SGtWxQV1exI53FvLhd9dYsWa5CBO3A01J3mkmD5nOUPdAxrzZnzNHduAftor50fF079QWmbKYlb7T2H1Nj8WJcTRysOP491/iMz+cCQHRTBjWh92JwcTs/IXQuER6dmojOh3v2hBG9IbdLN3wITd++h9LPjtE1JKldGooBKjUoCD5VzxcfWj22nTmzRjBZn933jt+g9ily2nXpJ6Yb05RlkP48OGkN+tLdIQ35saGqEpySAr148eLBXj5OJN64SLnTx/jwK+nGT3DhTdeakKItytW3UcS7DwFHR0tinJS8Zg8Ff2Og4mcPwsTw6r7hElA82hvk0cCmke7tFRbUqDmKHDy+F/MniUATU6VgKYCZq6StHgx3+3ZK2b6frlbV7y8vWncpOlD+d/crtKJY38RGRHJn38efWpA075pHU7/up/AkFj6T5pF4VcfkGLaUnQKVlw7iYebJ8VmdejTq4doSVCr1CjVKqzqNuXt4QPIvnHtPwGNjwA0zuGMf6Mnmhoq8k99yBjXj4lcuhqjnHOMnxtI8Mr1DHm53R27UQTtBaDZ9HsWi2MiqG1mKGw455c923HzCqXb64No4FBblFVIQqtQqmjeZwivta7FN59tYdeeg5SqQKVWcvXieWTN+4hAU8dEixO/HeGLTzdx4nI6dg6NcfKYi5VGMfNnTCdN35p+fV8Rv+qFIsCnZb1mjBnyumhBulXuATSJoT4U1ulCsOME8djSnIsMfH0sU7yDmTBq0J07hYDyshL2797O+5u/IK9QzsDRE5g4Zgh6MjWbly1k26/XWbMsHmsLU1TyNFwmzqJWt2H4OE9GX2iLWsnPHy1i+ffnWZqUiCrrAm9Pc6fn2074zxwtWtAU8nzWhPmx47crvP56/5tLRxq07PAS3Tp3RKMwEz8vLzTavc7CuZMx0tOhKCOZhPluXDduweL4EAx0df72lVKrSfnxI8Z6ryIoYQmvdm7Nd2uDeO/HNOITE3CobUtJ5kU8J83GqOcoInxmoS9T882nGwlb+hGxa9+la0MLQrzdOV9mworEKKxNDEFdzvoQDz48dJV331/DtsVRnCnWJzEuAhMjA2GUuXRoBz4LohnkEsK4V9vj5eJMiXVLVsUH3wpJkHftFCPHzqT/zHl4TByGvo4WWReP4evhTbrMlld7dRDnt5aeIZ26dadjy6YkX/gT12lOOEYkMvDVnqJGaRePM22mG297L2DsgD7o/ANG/+2pJwHNo70TJKB5NP2k2i+IAg8LNDeuJxMRHi6mNBAyaffu3QNff38cHOr9a+C8B8m57dNPxEjBBQWFTw1oOrWoR3lJLuvjQtj160XqyvOQNe4hAo1ewTXmu7tDg65EBvuhe9uuEE1NGdo62mQmXxaBZtAsLyYPr7qF5p5AM/djIpetxkqewugpc5kWEses4f3RlmmiViooV6rE5J4C0Gz+I1u00NQ2q3ipnTi8j7ke83FaEM3Qfj3/llpDQ3yB5588iJtvOH2mezPmjZ5ooWRZVCB7c8xEoHGwMECIAyQsm1w7e5wlixKo22M4c0f1YeG8OaSbNSMhOkJcrqosmjKZuINNcFR9KKDJvcjA1yqA5u1Rg+7c9qsWXJDVKBQK8rPS+TApjP/9dIE1H2ymobUOcf4upGg1JDo0ABNDXVR5x5k00Z0uI5xwnDwSXW0tCrOSCffxRtbgJRb4uHHu52+YH7EUn/AY+nfrKDZVXpROlM9cklW1WBwfdWvZTCbTEpfaspLP4u0xj85jpjF79Ei0NdT8vm8n/mHx9J3sjvfUkXfs4BIsPh/Gh7DuuxOsWLWcJrb6BM+ZQa59V6IDXLE0NeTKz98yO2gRk/yjmfBqB5Rlpby/Ip5PDpzjg/dXoVtehJfLHKzav0bYvNloa2mSm3Keea5e1BkwA/+3exLp40WBgQOxkQsw1NelvLSIj1Yk8MGev4hdkoSDnhw3F2e6DJuG54xxt8bmzM/fMWteOAtiF9G3eyfRx+vS0UN4egZR/5XxRM6bIPZHsPgI/Rf+/+nfvmTm9BCiVq2jZ7dOqOTFfL0+iritv7JoSRKd27V6qBAEEtA86An4779LQPNo+km1XxAFHgZoigry8fHy5qefDlMml2NoaMDq1Stp36nzfbcbVlXGp5PL6c4lp04t66OJmtSTPzHB0Ye8rBxe6j2UmPgFooPkxrhA/nfkKglrVtPQuiKmiuDroym++DTJTLmCy+wZdBw4EfeZ40Xg+OeOyHstOd0faNbQ1EaXhVNHctm2M2uSojEy0OPYvl2ck5sw/I1eolPwnUAD2VfPMGXaLGybdSVuURQmInypReuZsGyR+tMu5gYsZKh/AmP7dkFZUsDciWO4bteZdTGB6OddoVCuQ93GDSjJvsHCBf7otX4d35kj2bk+gbU7fyds9To62VuKL0nhvBqaFS++O0pVLDT/AjR56efJKdbG3sEeIabN2pD5bP31Eh9u/R9WmsX4z5qAZut+hMz3wERfDw1VMfOmTaHQsiWxEb6YGujx+brFLPvwC7xCoxnUvyc/bPuA+PWbiVm6krZN64vNLS/LY3WwF3uTVby/djn64rKZWthgJi5v5aVcwneeFwXN+rHabxYpRw+wIDyWS5lywuLjGNiryx3LTUKMl2j/efyRJWPZ4iiMSrOZMW02ncbPEbdIG+rI2PvpGhZv2isCj4OtFWXFPEP8LQAAIABJREFUhSyPCuGMwoLlkfMpyEzDadpklNbNWJoQiaWpPrveSeKD746xZMUS7G3MWR08n29OZ7Bi5RLsLM1IPn+KQD8/mvcaipfLVNIvnWGukzNT/KIZ9XqPW2088tU2vKOXszAxie4dWolO/+nn/sTXwwedxi8RFx0ihi4QrHpoaKKlpcGFEweYPdENl4WLGdy3G/u2byI+aS0yC3uWLk+iWQP7qt7a4nES0DyUXHcdLAHNo+kn1X5BFKgq0JQUF/POO+vZ+O77FBUVIsRo8vf3pVvP3mJog0ctTwtocjIOMM95Na4RcbRv6nBze24xO9clsnzzbtp3H8SCIHcxsF7GlVMsX76ci+ml1LG1El/kBfn59Bs7nZGvdqGsKI/YYD9+v5RFk7q16Drehbe6Nrtj98u1P/bgHLWBCZ7BjOvRgrQzPxMWEU3faT6MfLUbmhpK8s9uZVbAZwREJ9Cing3nf9lD9JJ3KDWwpr6JjOsZubzt5MmAnp345qMlbD+WS3iQH3amFT4MivIyLh7+mrjVHyMzscLMyBBleSmZCj1WxYehoyxgSWw0h8+lieHqSwtyUBQXkWvbirhAdwpP/8iq1ZvQt7WltKiQzNx83P0W0KlFIwoyLrNs6WL+upBFPQd70WKUnZlB//GzGNnvZbRud/4uL2Hfe6F88HsJ4dExWOmoWZUQRpFdB7ymviVaeMryLjNu9GzGuXgzcnC/O5acjn33P5Z/9AXGFlaoyorJKyxlyFQXBvdoB/JCVkX6sefYDZo1a8jISc50bdOAHRtXsuHTr7F1qIepkT6pKSn0G/wWI4a9gameJlvXJ7L94FmiE5NwsLW4CaUKzv2ym+DotVjXa4ChsHykLKN+yw5MnfQ22hoKPl+XxMYd+7Fv2AiFvJyGDRtw/OwF5vsH0bpJfXE7eGUpl5cS7usOdToQ4DqN3OQLePmHMtl1Hq/17IpMQ83WlQnsOZFCdHSkGOOoODeVRWEBGLR8Dfepb3Hj3B9Mm+VBrUaN0NPVx9RYj6tXUhg9dTZDXn9FdP4+cehrYuPXoDC0xL6WOYWpV3Bo24upU97G1sqcs38cxH9BDH7xK+jSquEtC8rFPw7g6ReJpX1d6tW3Z9oMR2qZ6fHZxtVs2XWAuo2aVDiLlxTSrtcAJo8ZQm76dRaFBnAyS0lDezvK1Zo0rSfj5CVNAoN9qWVRdYdgCWju/XQULNz5eXkIA2VibPKvAUgloHnUN4xU/4VQoCpAI3xd7fryc+LjF5GVlY2RkQH+Af68MXAwenp6/8kJ+J/iPh2gUSMvzeHc2WQcGjXB2KCi7YJvSmFeNhcuXMLIshb17O3EF60Q2yUvJ5PLV66jvOmYa2xqhr19HQyEoG5qNXm5qVy8cB21pgyHJs2wMjEUd+RUlqLcTM5dTcXOvh52FsaUFuZw5cpVTG3rinFnNDTUyAvTOXMxnfqNm2EofCkr5SRfu0JGdr54DRMzSxwc6qCnq0vmjStkFSuoX68+epXLYGphmUZO5o1krqVli30SdpmZW9eibm0bETryMlK5lJyCUqVG19AIEy0NCtChYT0HNBWlXL1ymbyiUrGusYU19erUQkdYYlKpyM/N5PzFq1S6Jhsam+Dg4IChYCW5/c2uUpCVconUAiWNGjdBW0NF8pXLKHQMqV/bTrRqKcuLOX7sNHZ162NtYX4H/JUIeZKuXKGwVI5ADBZWttjXtkVbSxu1WknWjWQuX09DpqVN4xYtMdbTpbS4kCuXLlBYIhclN7e0onat2ujp6aChUpBy7RLZReU0adr8tmVDNcpyOdevXScjKxu1BmiooU79BthYVrSpKDeHi5evUFauxNzSGhMjXbKzc7GvV1/s9+1FAN0LZ06ha2qJvZ2N6Dx+4fJVHOrWx8zUWPRzSr50iSK5igYNG4hLXMJOsysXz6FnUZtaVmacOrgbzwWrSVgfj6qwGJVajZ6RKQ3r1xXHXZBZAKcbyddIz8oVLy9E4HaoW08M/CpYGgtzszl/6SqNW7TGSP9v36ZyeTHnj5+mSKlEz8CYRo0aoq+nRUlhIcmXLpBXqhD11tHVx6F+/QqnYaWC/IzrXLyeIVptrGxs0VMVkC/Xo269Ouho/738WJUHpWShuVulP//4g8SEePEecnV3p2PHTvdNESMBTVVmmXTMC6/Ag4BGoSjnqx1fsnhxEmlpGVhYmOHs7MSQYcMxNLpzp8ejiPl0gEbgAxVKpUp8cNzu/yFAjfDQFUBAU0PwJ6jojWCGF3ZxVe40ErYQC34GlUWsp6h4IfzznMIxwstOCFYnbj0WHYtV4stKOL5yearyGsJ5KwFB2NUj1BPOL/xdqF9xPqW4NCL8950RmNW3HIEr2lbhD1EZrbay38L5xHPdbIOw/CAut9zsp1BPiEl0+9KZUEfwa6ksFX355/VFtcT+iu0TNRKCBFbsGBWuI2haqbPw3/+MpCv8VtnvSii7vR3CucUxuunrUdl/IdicoJVQRA2FtonNudke4frC3/8xQSvPV/lnIXlq5ZwQ26JUimN1e9vv3e+KJZXKLea35thtfRTOJbSwsn5lXzU0NBEiLH+9aT2bjheyJtRN9AWq1EzQ6PZxFtskaHzzXLe3p/K6t8+jm7MYpaKiL8L1BLAUzynMXXF+VoyRoJtY99bkrnAsr5yDwvG39+Fh7veqAE1pcTGfbv6YY8dP0LxZY8ZNmIyBkQCEz2c5sH8/7q5u4n0QExvLK337in5p9yoS0Dyfc0Dq1WNW4N+ARtjN8uOBH4iIiCI1NQ19fX3mzXNl+Mgx6OnrPxbLTGV3bgeaDh06sGbdWoyM7w1MwgP2gw2rGD9llui3IhVJgZqsgLw0n82r4lA7dGb8sMF3xvapyR27re1VARoByMrK5JSXl4svdmEpuxLknxMZ7ujG/h9+YK6zi9jHuIR4+vbrJwHN8zjQUp+engL3AxoBGo4f/Qtvb2+uJ6eIN93kyROZ5eiIiYnpY4UZobe3A42TsxPOc+fe9+aWgObpzQ/pSk9eAcFCk5V+A009E8yF5aOHDEr55Fv46FeoCtA8+lVq1hkkoKlZ4yW1tgYocC+gEZYdsrOzCJzvzcFDR0QzdK8e3QgJj8DS2uaRdzTdS5bbgWaumxsuc13uq54ENDVgYklNlBR4SAvNiyaYBDQv2ohL/X3iCvwTaPyCgjl79gxLEhM5cuRnFAolw4YNYbajIw4Ode/rtPaoDZWA5lEVlOpLClRfBSQLzd1jIwFN9Z2vUstqqAK3A83YMW8xx9mFyPBwvv9+n2j67tatK36BgdSrV6/KSSv/ixQS0PwX1aQ6kgI1QwEJaCSgEXcJiJvUpSIp8IQUuB1oXn2ll5hg8bvv94tRgFs0b0bconjq12/4SFGAq9L0y5cucfrUKcoVCpo0bUrz5s2lJaeqCCcdIylQAxSQgOYFBhrBR6CosJBLFy/QsnWbJ+KzUAPuAamJT0GBSqDJyckR444IW24FmLGxscbPbz6vDxxc7ZwUJR+apzAxpEtICjxGBSSgeYGBprSkmLWrV6JQIu72EIKXSUVS4EkoUAk02dnZYrwJIT6FADM+833o268/+gZCvqDqVSSgqV7jIbVGUuBBClQFaIRYSIUFeZSVlaCjo4uRsdkT89l7UHufxu8vhA+NEPtj7ZrVvLP+Hd4cOhRffz8x/odUJAWehAL/BBpLSwu8vecxeMgwtLS1H/v27Pv1QYCUq5cvkpWRLvrqtOnQ6b6WSQlonsRMkM4pKfDkFKgK0BQXFRIVHsrBHw/T9aX2LAiLRIjM/byWI0eOEBIUJFrA/QIC6N6jx/MVh6a8XM43X+1kUUISaenpvDV6NH4B/hLQPK8zuhr063agMTE2IiCwIqWB7lO2CgoRYhfFxrDjyx0YGBqyZes2jE1M7glUEtBUg4kjNUFS4CEUqArQFObnEeg3n2+/+4He3bsQm5gopv24MyL2Q1y0mh8q5MRLvnZVjExubWsrxve6XwyiGhcpWAg/vX/f90RGRJKami6Gox49ZowENNV8Utb05lUCTWFhAXMc5zB5yhQMDI2e+kNECOkeFhLM1q3bMDEx4ctdu7C0vPfDTAKamj7rnl77S3Iz+eb7/ZQrlRV7LISioUH9lu3o1LLxU5/nT6/n1etKVQcaH77ZUwE0cYmLMTF/foGmIv2FqiL32s1/7jdqNQpohME+deIYvvP9uHjx0s17TkMCmup1Tz6XrRGAZq6LK126dGaetw82tnbPpJ8VQLOATz6pAJqdX38lAc0zGYnn66KnDn3DLI8AjK1sMTOuyAsk5Gzq+sYI5owf+tBJFp8vdZ5ebySgeTStawzQCKb2w4cOERUZxdWr18QkZ5XOmZKF5tEmgVT7wQqcO32SHV9+yduTJmFtY/fMdjQJvmMVFprPJKB58LA91SOEZ5SQ0FOEAZnWbQkv//7CFH4ToFRMunlbkk3h7xUJKSsSSFYm97w9saSQMFE4RnAK1dCUickTb08KKibD1NAQM54L51arlGI4i9vN88JzUyj/TB558tBu3AOicfQPYnDvHrcsNEKySm0tLclC85RmkgQ0jyZ0jQGa68nJeLq7cuLEabHHdevWIiUlnfJyhWShebQ5INWuggJyeZmYEVnwmXmWa9U/H/6RiPBIzp+/KAFNFcbtaRwiJAssLSriyA/fsfqdD1GoVMwNi6N7i/piAsWCrFRWJC2mz5BxGBSksGztBvTrNCEwKBA7CxOxiUIm8oK8PNYGe/DzjSJM7OqyaGEYZqYmYrbn7RuXkWXSmK6qk0R8+huTHOcy+JVuZF09R1x8IpfTcun55ijaGhez/3IJgR7T2LZmMck6jfCYPvpWVvAvPlzHZ0dLWBnhiIGuzi15BKDxCIxh7oIwhvbt/TRkk65xDwUkoHm0aVEjgCY9LZWEuDi+/vobFAoFbdu1wd/PCw8PH9LSMiSgebQ5INWuggLCl7FQniXMCNff9ukWYmPiKCgolICmCuP2pA8R5sWNiydIioojQ9OQEUMHcv63/Wz79mcCoqIZ+Ep3rp35g0Bvf2T65hjb2tLQwZKvduyh69CphHpNQ1OtZP+uz1i+5kPavPwyndu34cddn3JNZUXMwjBsjSHKZx5X03JQynRAz5iJU2dgK8snInYRtg1a8UrPbnz7xadcS0mjff9RhM6bxRfrEvnqXDHxCxdgpq9NeUk20f4BNBw0kTF9u6OjJbsDaNz8FzLZ1ZPXe74s/l1LSxsLC/NnZo180mNXHc9fdaCZzzd79r0QPjQPM07VHGjU5Ofns3LZUj799DNKS0uxs7MlYVEcDRvUZdSocaSkpEpA8zAjLh1boxW4PfWB5EPz7IdSIS/mkzUx7PwljcAFfjSwtyPjj12MconEJSiSCcMHcObwbpznhdFj4HCcZk3FUFZC7CxHMuu8xNJlEcjkhYR5e2LVpg/Txg1FX1eb7z97l6TPjrBieRL1dXNwmeVIgU5dFoT5U8++NloaKlbHhPBHmiZhofOpZW7M1RO/EhAUwSsTnHEc/yaHvtxIzJbDrF2+iNoWRpw79CVRy7YQlpBAffs6wqrXHUAzxyMQQwtrLExNxcDrdeo3wy/AGwsTYykO+1OaahLQPJrQ1RpoCvPzWb40iW2ffU5RURHNmzchOCSElq3aUFaSx4gRYySgebTxl2rXMAUkoKlOA6Ym88xhps72xqFjH7q1acip02e5cfk8erVb4D3PRQScbzevJWnTHiKjIujYuhnF6Rdwnj4Xs95jSfSZTNp3q3Fcsps3x45HkXWVy1dvcCUllSGjJzHqzde48dd3ePonMM03hEF9e6CrrUXO6b14hK5m+vwQerVvIfrrXDrxG75+AcwISaJ/h6bc+HMfk+cnkrhqJa3qW7LEz5Ub+g1Y4DsPMxOjO4QUlpycvUPpP+ItOrZoLvr4mFpY0emlDuhpa1cn0Z/rtkhAc/fwCku6lb5fMk0ZGpqa950D1RZoiouL2LB2DRs3fkhJcTF2tewIjwinS9eXRe/7ovxMCWie61tb6ty9FJCApvrMC8Hp9qdta/Ff+gkDhgwWLRmoVbTu2IXWLZpiaGCATBPeT4rkl0ITgt3nYGNqwKVf9+EWFMtE7wWM7NmKNbOmsb9Mj379XkFDrQINLbq/9hqNatuhq6PNga3rSPpkH7FJS2hib4MGSg69k8S6vceITUrCxtJMdAD+efc2Fi7fTOK7G2hobUZJ+mlGjnbCPWoRDdTJuIckMdkzkNEDXxF9e24vAtAIS05O/kEM6tNT/EkI3CjkLNPQUFOSn8fFixdBx4D6DephKAUxfSITUQKau2U9ffIEG9evEX+YMHU6LVu3rVlxaARP/y+2f0Z8XCK5ubkIgcy8vDwZOnIUurp6oqd/YV6GBDRP5JaSTlqdFZCApvqMjlJRzs5341j95VFWrFyMraW5uDSjpa2D9k3/FJW8gGh/D2xeepMpY4ahI9Pk0M5NRK/exMJFSTStZYTb2IlYdO7LAl+3Wz5aOrq6oiOv8KzbEOPD/isqlsSHY25sBOoyNsVEsOfEDRJXLsHUxIjSogLi/Nw4UWrKhiXRGBnoU1qSx9y3htN7qgvXfvyay9gRusCb2pZmdy0h/ZtTcGlRPh8vjSFL2xpdRR49Bo+mQ6uWt3ZxVZ8RqfktkYDm7jE8sH8/nm7uaGhqEB0byyuvvlpzIgULTr9HDv1IZGQU165dw9DQkMmTJjBl+kyMbsZHkICm5t+4Ug/+mwIS0Pw33Z5ELZVSwS87NuK3bCteEQvp0aKBCCHZmZnY1a2HnpYmJRlXCPT04LUZ8xnwanc01Aq2rlvGpt1HSFy2nFrm2nzo6cwhLTsiQgIw0NEGpZzsghLqOdRBQ11OpNsMiuzaEezjioGe8EFXzvdrF7P2m99ZEBODtZEmR/Z+xPJln9PhjbcI83dDT1cHeVkpIc5juZ6lIKcMfKIT6Na66S3Y+qeFRti2PdPbl4GV27ZvwpmipIBIL3f6TphNm5ZNsbS0Ei1Hz9pB/kmM6bM+pwQ0d49Azc3lpFbzzTe7iY2OJT09HW1tbZycHRkzbpwY7rjyBpKA5lnfdtL1n5UCEtA8K+Xvvq74HMpOYX1iPF/+dBxdbW00NaBZx16EBc/DSFeXqz/vxHPhOwTFJdKxWX1UZUWsXhTDT+ezWbI0Qdx9lH3jNOFBMZxNyUSmqSEmGnx9zCScJoxClfoX0+d402O8K9PHDhX9Z4RQvnk3zhEdGs6RszewtrSi7cs9OXtoD6+Mm8mkEQPR1taiXF7GxmhfVm49gJNfIBNGDUZfV/cOZ+DKXl349QemunijoaOPsaHhrSWnlweNxmv6aE4f/ZlDu3dzNEvJbMfZtG/RSIx5I5XHq4AENM8R0Bz56UcWRkVz4cJFEV6mT5/CpKnTsLKyvqOXEtA83ptIOlvNUUACmuo1VoKVJjcrg0tXr6NUVQTVs7Gzx762LTItGYVZaSSn5+BQrz5GBnqolQpSkq9RWKamYaP6aMs0UZTLSUm+SmpGtlhfCKBXt2FjrMxM0CjL48yFq1jUcsDa0vwWRCgVclKvJ3M9LRNdPQMsTIwImu/BRLcA+narSFgqz0tjnrMTBo1fZp7rLGyFpab7QEhJYR5nz11AXq64LfOBBubWdjRwqCUufeWlXefLj9egqP0SU8YOv6elp3qNTs1rjQQ0zwnQnDj2F4H+AVy4eFnM29C7dw+iYmIxNzcXb/DbiwQ0Ne9GlVr8eBSQgObx6Fijz6Is5/C+PeRjQH37WqgVxez8YAmHLpYTk7iIhrVtUCvL2LY2gU0HzhOxMIrm9ezQkv0dd+Zh+l+Qk827yxNRGJhz+vefGDzFlUF9e0pA8zAiVvFYCWieA6ApLS3Bz2c+e/fuQy6X06Zta4IWBNGqdVvxS+OfRQKaKt4d0mHPnQIS0Dx3Q/rwHVKUsm/ndjZ/toMTZy9iamlDy+aN6fX6UAb07SHurDr7+49EJyxj9GxP3ujTFe3/CDNC4xTyMk7++SvpuUXI9Izo+FJHTAz0pNg0Dz9yD6whAU0NB5rsrEwS4mLYvfs7MXBe0yaNiYiKoHnL1vf1ZJaA5oH3hXTAc6rAsb/+JCoqkr/+PCZFCn5Ox/iB3VKrKS0pJv1GCleTUzAwMad+g7oYGRqKSSSFnFK5GaliZOFmTZugp6crwccDRa0eB0hAU0OBRoCSosICFifEs/3zHZSUlNCyRTOCQ0Np3rKVGP/gfuWfQDN48GCcnJ3Q1dOtHrNSaoWkwBNSoFwuZ0lSkpgGRIoU/IREriGnrUzHITZXQ+MuaKlM3ltDuiM1U8jppVSyf+93nDh5Gkdn53t+1Bfm5xHo9+KkPqgRu5yKCgtZtWIZn366jfz8Aho3bsSC0GDat+/4rzAjzPrbgeb69RtYWVpgZ2uLlvZ/WyOW7iRJgZqigFqlJjklhaysHAloasqgSe2UFKiiAhLQ1EALjUqpZM2q5bzz7vsUFRaJFBoWHsKgwUPEbMYPKv8EGsFzX4qJ8CDVpN+fFwWE+S/8I1lonpcRlfohKVChgAQ0d8+EA/sP4OnuLr7jo2NjqldgPbm8jN27dhIXl0BWVjbm5mZMnDCeiVOmYWxiUqV5LTzMS4ryWLAglIyMrCrVkQ6SFHgeFMhIT+Pq1WviTkAJaJ6HEZX6ICnwtwIS0Nw9G7IyM/nrz9/FdAfNWrTE1taueqQ+EJJM7d+3l/CwSNLS0m4FzpswcRIGhoYPZWVRq1Tk5uXdSlol3RSSAi+CAtu3fcqKFatFB3oJaF6EEZf6+CIpUBWgKSkuYuvmTRw9ekxM2Dxu4mQMjYwFR6rnUirBgCF8wAkhlIQQLv+2GvPUklMKy0zHjv6Fn6+fmNJAV1eX4cOHMdfNDTNzi4eCmcpRu8Mp7rkcSqlTkgJ3KrDpw/dZlLCYktJS2rZtw+p1azE1vXfANOH++GDDKsZPmSV+PEhFUkBSoHorUBWgET7my8pKKS8vF901dPX072uxqN69ffyteypAIzxYL54/h7+vHydPnRbX/4cPexO/gCCMTEz+E8w8fimkM0oKVH8FBKBJiE+kTF6Gm4c7M2fNvu/DTAKa6j+eUgslBW5XoCpAIyl2fwWeONAID9WU68lEhIVx+PAR0XTUvUcP/AP8cahbV0xRLxVJAUmBqilQCTSlZWW4e7gz29HxvhUloKmaptJRkgLVRQEJaB5tJJ440BQU5BPk78/33+9FqVTRqlULFiUmUtve4b6B8x6tS1JtSYHnV4FKoCkuKRGXa13mukhA8/wOt9SzF0wBCWgebcCfGNAIX4eZ6emsW7OKbf/7nNKSUtq0bolfgD+t27YXUxpIW60fbfCk2i+eAhLQvHhjLvX4xVFAAppHG+snBjTCLoy1q1bw7rvvU1ZWhr29PdGx0bRp2+6BgfMerUtSbUmB51cBCWie37GVeiYpIAHNvefA7RuAnvoup7LSUrZs/piVK1aRl5ePlZUlIaHB9Orzqri7SSqSApIC/00BCWj+m25SLUmBmqCABDR3j9L5c+f49JNPxR9GvTWKxk2aPL04NELgvI0b1rN+w3sUFBRgZmqCh4cbQ0e+JcKMtMxUE24rqY3VVYE7gcYVl7lz79tUySm4uo6i1C5JgXsrUBWgEbZtZ6TfoLioCH19faztaj/Xm2sOHjyIt+c8kR2iYqLp3bv3ff1vH+uSk/AA/eXwTwQFLiA5ORk9fT0cHecw7u23MTE1k+awpICkwCMqcDvQjBs7iqDQCNEf7V5FAppHFFuqLinwlBWoCtAUFxWSGBfDT4d/plPHtsz3F8KfPL/v12eSnFJ4eP7268/4+vjdjAKsxdsT3maOkxPGxlKsmad8X0iXe04VuB1oLC0t+eqbrzEyMr6n5VMCmud0Ekjdem4VqArQSNm2+z15C82ZkycIDwvn6LHjYuC8EcMG4+zmQa3adZ7byfesOiZEXf7tyAEMLOvSqlnDZ9UM6brPQIHbgUZKffAMBkC6pKTAE1RAApq7xX3qFppTJ0+QEBfHb7/9jkKhZPCbg/Dw9MBWXNvTfILDf/ep1Wo5+77Yzl/nr6G67WdtizpMHz8KQ71nFwJeABEhuaCesRmmRgb/WRd5aRERvnOx6TAQ16lj7nkelbKcoz98zg9/XkWpVovHaKCBrrEpI8eOw87U8D9f/1lUVCpKOPj1Dv48e+1Wf8Qemddh4qg3sa5h/fmvGkpA81+Vk+pJClR/BSSgeYZAI1hi0tPScHedy+nTZymXy2nTthXhUQtp3Pj+nshPclopFblEubmRrDDG2cURIwM98XLaegbY2Nigp6v9zFJ4FWSnExcVTp2X+jNn3LD/7CBdWpRPkOcsbDoOZr7j5HvKWVJwg5Bx4+Gl15k2bhTaWhVJvbT09LG1sUZPR+dJDsNjP3dpSSpJgb4kK+1wd5kpJioT/0dbD3s7YVxrVn/+q0AS0PxX5aR6kgLVXwEJaJ4h0GRlZhAWEsL+/QcoK5PTrm0rAoIW0LJ1a7S0no0lRKHIJnSOE3mGDoSFBWNhbnKHQiVFBWTl5GNjZ4eOlgzUaooKcikuB0tzU8oKc5Cjg7GBHplpaZQp1aJDs6mpkM3076JUlIswp1Cq0NDUwq52LbQ0b2Y7VSnJyMjCzMqS4rxc8otLMTE1IeXcKeJiFlKrwys4ThiJsYkp5mam4kkFOExLuU65Si1mTrUwv9PJq6y4kIzsXDRlMoz0dQmb74Rth8HMd7oX0KjJufArw8e6Mt4nhGkj+qOrc+d4qJRyMjNyMbeypCg/h4KiUgxNzLAwNbqjn0UF+eTk5qGhqYmVrR26gmZCUZWTmZmNkYkpgqZFJWVY2tihr6OFvLSEjMxM0JRha2Mj6ou2AUZ6WmSlpmNkZY2B3s3t+2olWRmZ6BgYY/wvVquSohQS/OaRo9+c+OgF93WErf6PrEdroQQ0j6afVFvccOWtAAAgAElEQVRSoDorIAHNMwIahaKcJYmL2LLlUwoKCrGwMGfFqpW0at0abe1n97X8r0CjVvPHwd0krHgf98AwurRpgrJczvtJERRbtWH6+KGc3LGC48W10ck6xVc/n0VersSucSuiQ/3Rv/kSluemEh23iDMXroKGJiqlmlcHD2PapLHoyDSgOJuwsDjGOU3k3fBYzheoGDZiEF9/8gkXr6egpVthLeo5aAQe08cjL8giJjaBcxeviMtkBgbm+MWE0dDKGk1NDcpK01mXkMiPRy+ioalN56GjufTth9h3GXpPoFGrVfy5ewsuUesIXrKS/u2aoiW7c+mv6MpvBCd9xowRL7H2w8+5kVNMvebtCfT1wEQAC5WKlN/3E7z8PYQgiUI/O/Toy5yZEzHW00OZcYaFCSvo0vtltn+8gxyFGreQGDrYaxO9YCHnbqSjqSWj15tvo3nhe8xfHkv/9rVY5OrH666e9OzWWexbec4VoqLi6TViKv16vHTfZ83fQNOM+OhgCWhKSpB8aKrzq0lqm6TAwysgAc0zApri4iJWLFvGxx9tEl94jRs3InBBEF1f7vafl1IefvjvrlEJNOcLZIx8ayRGhhWp1Zu2aEPDerVJv3aBRQHzyLdqQ3CQD2e+28qG7fvwCA6ndYNa/PhuECt3naNJh6507dAWdWkWX27/nGb9x+E6ZTTaajmb1i5l++EzDB8yGAdrU65dOMHuPQd5y8mbN3t1Qrskg2kz51KqLKdlxx7YWFnTqmUzLh7/nY83b8G8QUtefbkzzdt2EKFq05ql7D2RwpChA7E2NeDI7h38cjmP6PiFNLAzZ/PKeLbuPcaQ4UOxNdXjp+++5cCfJ3lzwqx7Ao1KqeDztXHEb/qOGTOnY2dpJi6zNWnekkYN6yMYkg58spKwtTto3bQx3fr0RFGYyQebd+CzaAmvtGrAhd/2E7f0PVp06U6H1s3IvX6BuJXvE5GQRL/uHTn7wxf4hCRgZt+Azl06YWJqSY9XevDtpg38dD6LwYMHYKxRwuefbCWloAz3sES61jdirfcUag12ZczwQWhryfj5yw+I2/A5wbFxtP0XB+cKoPHkdI4h48eOEMdUpqVFyzbtsa9l80zn3OOYt1U9h2ShqapS0nGSAjVPAQlonhHQCJdNSU4meEEQP/10RHyhtG/fjsioSOo1aPjMXjCVQPPNHxcwszAXv+S1tXWZ4ezG0IF9USnKyTq5D0ffRfQYPII/9+6kbb9RuM2agJaGin3r/fjwuAZRIYHYWVmgVpay/f2VrP76JCuS4rDRzCM4MJDekzwY1rMT2tpalJYUsiY6gGMFZiSEzcdMo4CpMxzRbdGPhPmzMDLQF909slOvEegzD4dug/F3miJqdOPSGXx9vJnmFUrPzu3QlslIOXaIN6d64hu/jMEd7PGcMZm6vcfhOWeS6NSclX4Z79lOtBw48Z5AoywrIjHAlS37jmJhYYFMcMyWaTPbxZ0hA15FMNa8G+XFpgPniYyNpVPr5lw7cxRf/xAmBEbSr7EVS0MXQJPuOE8eRXm5nPM/78EzYgWRSSt4tUtbvv54DVHL3sdjQThDX+sj+iZd+H0vYXFrmeYbQq+2TUGl5OCHi1n89UlWbliLlUzOF++EkaLdGqdpE9DWlBM7340r1CE2zBcTo/s7KgtAEz/fg10/X8bM3FzUTt/ACBcvX17p3qmijy9AkYDmBRhkqYsvrAIS0Nw99IeEwHrzvESLfnhkJL1feeXJbNsWxD939jRR4eH8/sdRtLW16dixPRFRUdSxd3gmk7ISaJIVJri6u4jLJ5oyLSysrDA3NRF9ZspKiti0OISV2w9i1bwzq+LDcLAR4EUuAs3uNBuCvN0rll7UavZ9+TFRSZuJW7YYazKJikjEJTKelg0dREtBubxMhJ6P951m3ZIYrHRKmTbTid6zg5nYp51oiRDKvYDm/LGDeDr70LrXa9SytUIm06A4O42tO/Yw0SuMsZ3q4DRtCm96hDNh2AB0tDQpKcwn0HMWdh3fvCfQlOSk4jtzMiW2bZjrPB0DHW3UGjLsbG0xNjZEXZLKfCdnDNu8hrfzNNFf6ORvhwiOXkxE3CJ0ilLx9fDCpuVL2Jjoc/b8RXR19ek9eDjDB/bDzNiI9QkhbD9ykbUrk6htbQlqJf9bHcs3p3JE3yUbcxOU5WVsCHbklyIr1iyNRa1QcGjXFj7+7QaLA1xJPfoDXiGLGe0WwKj+PdDR1vr3JSdfT64pa+Pl7ihObmFcbWvVwkBfD03RS/j5LxLQPP9jLPXwxVVAApq7xz4nK5MTx/4S37WNmjTH2tb2yaU+UKmU/HjwIJHhkVy7dg09PT0mT5mEk7MLunoVO4yeZnmQU7DQFkVZEe9F+vPed0dQGDjwwTvLaFy3FqryMhFovsmwJcjLHWNDfbHp32//gKjl24hPisdSlUZUxBLmxSXRtJ6wLV0DhVzOFx+s4MO9Z1i7JPoW0PR1jmB8r9a3nIXvBho1544eYJ5bMD4LY2ngUOeWZUuwQBgam1KedpE506YxxDOcicMHoi3TRNjlJADNPZ2C1WpSz/3CtBnz6DPOjXmzR94FCgUXfsPZw5cRcxcw4o0+aKDm8J6trH5vFwsXxZJ65hv8A9YSHL+IuvZ24uTR1dXD1MwMLS1N0fIS4+tKqp4D0QHzRKBQlJWwJMidbJOmBPl5oq8toyjnBm6TZ2DXqTdRoX6idezkke/wXvY57y0N5dPlMRxJlxETFUwdS5N/3X32IKdgwW8o/fpVLianY2CgR736DdCXqUhOyxYTo2qolaSlZWBlaUFqRiZ6KLh0NYVa9epRr65DjQEiCWie5tNEupakwNNVQAKaR9P7saQ+KC0t4ccDB4iJjiEl5QZmZmZMnDCOKTNmYmDwdOOdPAhoVKpyLhz8gsD49xgycSy7Pv6Ipj3exM99FjqaahFotpzSIiIkABsLM9E5dtv6ODYdTiEuKhQTeSqhAQH0nx3IkF6d0JLJKCstYW20P2fk1kT5u2OqUSBaaO4JNN7zsOs6kAUuU0V4uX7hFPM9PRjnHckbL7dH66Y1R6VSibBUnHYJl1nTaTFwKp6zJqOrIyP70mm85vvQst/Yuyw0aqWCk/t34hq6FO8V7/BGy7rIKndf3Zwrf+39At+wREKWb6Bb60aoleXsfDeR7X9mig63Fw5vwi98M0s2bKCpYIUSrB9qNZpaWiL8KIsz8ZgxiYZvzMR5wnB0tbWQlxSy0HsO1OmI/3wPtDVUHP76fwQtXMyQiU54Ok1GLez+OvcXM92Cmew4iU82bGSMqx9D+3b/V+uM0Ox/Axphh1hB5nVWLF2FUdOO6GSfJ0dpysQRr7LlvbV0HPA2pnkXOZxcxvA+HYiJjcOhVj1kRnokX7mOS1AoDWtZV2wFr+ZFAppqPkBS8yQFHkEBCWgeQTwhkof69rzcj3Cu0pISfjp0kNCQUHE7r6mpCdOmTmHK9Ono6D49S40ANGGOzlwp02fK1MmYGFcAlYaWPm1aNyfz8ikC5vvSqM9wPGdP5K8v32PRx9/hEx5J55YN2b/Bn8hNv9K8/csMGz4EefoZPnr/M96Y5srEEW+gKMnn/ZWL+PLHE8yaM4da5sYc/WM/e/f+xUy/QHq2a45OaeY9gSYvM5WwgPlcK9HDceZkrCzNaWxvy3uLI9lx5BKT58ykcR1bFKUF/H7mGmNGDsfMQMaK6GC++/0yE2ZMx1oftm3ewqnLKQwcO/UuoBF2be3cuJRFnx4gOMALIz1hOUZQQEajZs3Ebdm7PlrL4vd2suHjd6lrbUF5WQmLg1wpqN2dYLfJXD7xEz6eQbw6djpd2zYTgSY35TKd3xiKmZ4OuZd/Z/q0+cyMiGdAT8F/RUO00Hy4JJydf6XiOGMy+ZeO8r89Bzlz7jLzYlYztn8nUKsoyklm2oQZpOaX0G/4ONzmTMHMxPiBsYEEoFnkN48LxRbMmTnp1i4ntZY+zZs24vKRL9lyOJnXe79McdZ1tn++k7n+wajSL7B01XqUMiO8g0OxU+US5B/B3IR46ltZ8OGShVh3Hcqwvi/ftRPsEW6HJ1ZVAponJq10YkmBZ65A1YHGh2/2/EDv7l2IS1yMibnlM/Nbfeai3daAxwY0oKa0tIyDB34gNCSM7KxsLC0tcHJ2ZMzY8WhpP524NCplER8uWcyeX06CTHbrRalrVY8F/p7cOPkz7378BW4BATSvb09pST4bF8dTXqsVU94azC8fhbDlWAnNba04euEqKqWKpm1ewnHONKzMTVGrlSRfOM2Wd9Zy7Go2QgxemUyXIaPHMPj1V9HVlonbtqNiF9Fp+Az6t290a8lJIS/h4J7P+ejjnchlWnR//U1mjh1CTuoV/vfRO/x4/LoYj0ZDJqN2m654Th+PlZkJaRdP8MEHH3D8wg20dfXp1u81SpLPYd64PRNGDrpjPpXLS9nzyQd8sns/yooAwRUTXccMTx9P2jVvwK4t7/Hj+Uz83J1ER1whxs17yxKw6TqIEa90obggm68+28rXe3+kTKES69s3bEmAnwd6Otpc/nkXiZ/9gpurC03r2lZorFZy4divYpb161mFmFvVoVVzO7Zs2s3qrZtoYi3E1VFTWpyP6+SJpKlNiU2IEZftquLQW1aSw9b1K/j2yGlUYszjisB6ahN7gnxcyP5tB+v3naF9s0ZookbP0IwBgwdSnnWVYL9ACnVsWb52KToZlwhZEI3/2lXY6Bvw8dIoNJv0YNzgvmhr3d+Hp7rctBLQVJeRkNohKfD4FZCA5tE0fYxAUxEcrrCwkHfXr2Pt2vXiC8zGxhbPee4MHjLsKaVBUFFWKqdcobhDGU1NGdo6OmioVcjlcnT09MTlImFpR15WCppa4i6nHzb483WqJT6uTreCv8lkWujo6CC7GctFqVRQVlqGqjKlgBCBV0sbHR3tCnhQqygpLRMhTkumdWspQ9BHUS5HLi9HjQZa2lpihFvBD0kITKhU/p2sQYAafV1dUTOlQiG2Wamq+L0yu7IQZE/3HxF/b12jvFxYJbqdXUX/JmFJS15WJoKY4MQtnF+4frlCKQKCrra2qIkQ9fl2DQX9hOzpAkgIfShXqNDR1RE1FHlGrRado4V2qoSTK8v4avMqtv6Szfur4tAX+qks5/Qve4hYtoXpLq680kVwmK4aRKiFNgnald85rqCJro4W537bw6Zvj+I0ewaGujKu38jEoY452zeuIwcjilNO0qjHaPo0tcTfJ5Ch7r7079iUhQuC6T/Vg14dmt3qy6PdUk+2tgQ0T1Zf6eySAs9SAQloHk39xwo0lS+2vNxcli9ZxKbN28TW1a3rwLLlS2nUpFm1NosJu3Lu5RT8aBK/GLUFyNmQGIbCtD5WZsbkZtzg611fMdZ9AW+91l2EhbQLR/Gc40b/WZ6MGzbg72jBjyiRADtFuRm8szKRg3+cF6MpN+rQh9dbWrD5m8PM852PRl4KK9Z9xOSxI1gSFYNVCweuX06nVpvuhPt5YCikxKgBTjQS0DziZJGqSwpUYwUkoHm0wXnsQCM0RxiU3Nxc1q5axebNW8Sv9xbNm+EfFEjbdu2fkqXm4YURduH8vvsd/sw0ZvyYkRjqPz3fn4dvbfWqIfju/HloL199u49zV1Np9lIXurRtTZeXOmJsaIAAHTs2LubwxTJc3OZQy9ryse4sEhJ/lpWVCfkqK9JwCnFpbpqoBEuZ4JCsKFdSeO0MIUEL8VqWRG0TM3H5StilVRNgRujZwwPNSsZNniVa46QiKSApUL0VqASak6fO4OjsfM94K4X5eQT6vTg+NMK7QyGsuGgIqxNa/8oPTwRohCkjLFsIuY6WLF7Ejh1ficsuTZo0IWFRPA0aNq5ILFjNirhsIiw/acjQ0tF+rC/catbVx96ciqWucsrkZeLSmbAEp62jLS4pCbAg/C4vK0FY2dIX4sY8o0B4WeeOEREax/xVy6ltUpFHqyaVhwWahWEBtGvb9tbuuZrUV6mtkgIvmgLCe/PU6TNo65niPHeuBDTA6VOn2PjuO+JUmDRlCs1btHxycWj+bcIJtJly/TqxC6P4fu8P4lfiyy93JjQ8nFq17V+0uSr1txooICQVLSkqRt/YuErOyNWgyXc04WGBZt+e3ZTJ5TXGAlXd9JbaIynwNBUQPwwV5TRs1JTmLVvd88X9olloDh44wDwPTzGMSVR0NH2eVKTgqgy04EB76uRJfLy8uXr1mvh1Puqtkbi4umFSA7+Qq9Jn6RhJgSelwMMAjdCG4sICNDRvZkh/Uo2SzispICnw2BRQqRRiZPb77Qx+0YBm/w8/MNfZRYS7uIR4+vbr92RSH1R1BIXAe4d+/JH42DgRaoyNjXn77XHMcXJ+JtGEq9pu6ThJgeqmwMMCjVIhR6alU926IbVHUkBS4D4KCLtBNTQrlurvVSSgecZAI/pPyOX8+ctP+AUEk5aWjomJCXNmTWXM25MxNDKSJrekgKRAFRSQgKYKIkmHSArUYAUeBDTFRYWsWbGcn3/9jfZtW+Hi5omRsUm19Et9HMNQ7Sw0lZ0SdqF8u/srYmPiyM7OEVMkzHV1ZvSYcU8t8N7jEFg6h6TAs1LgdqBp164ta9atw8TU9L5fc5KF5lmNlHRdSYH/psCDgEaIG1aQn09JcQl6eroYm5giq2I8r//Womdbq9oCTUXgvQI+fH8j69aup6SkFAcHe4JDgunarftDbC1VixmnwyOiyMrOebZqS1eXFHiKCqQkJ3PlylVxG+McR0ec57qIQR/vVySgeYqDI11KUuAxKPAgoHkMl6hRp6i2QCOoKGxLy8vL5eP3N7J23Tvig9nOzgY/Pz/6vf5GlbbzimCUl8nIkWO5fj2lRg2O1FhJgUdVQEyPoaGBm4c7jk5O/3o6CWgeVW2pvqTA01VAApo79a7WQFPZ1Iz0VFauWMkXn38hWmo6dGiP93wf2rXv8ECoqQCaDEaMGMP16zcwNzMToUjY1iUVSYEXQQENDU3enjiREaPekoDmRRhwqY8vjAIS0NRAoBEsNZkZ6SyKj2fnTiHwngatWrciJjaGevUb/GvcjH8CzcCBA8QkmFI01Bfmnpc6qqGBqZk55uYWEtBIs0FS4DlSQAKaGgg0QpMFMLlw/ixx0TH8dPgIQgLEPn16Mt/XF3uHevf12r4daFJSUhk9Zgy+/n7o6+s/R9Na6oqkwIMVeFDKhud9yUlRVkJySuqtRLEybR1sa9VCT6vqsXfKinI5+tsx6rdpK2a3V5cVsm/3TkyadqFT87s/rsQkqz/t41RmOYMG9qe8KI/jx05Tv007aluYPHjQ/sMRQpTttBuplIuZXyuKkN7D3KYWZga6/+GMT7eKEEU89Xoy8tvbjwaG5lZYmxlXx8DxT1eg264mAU0NBRqh2UIOnvT0dDzcXDl69Ljo4NinTy+Cw0KxtLS+56S6F9D4BfhLQPPMbkHpwtVVgecdaM79/B0ewfEIWdc1NEFL14hXh41g/LDBWJubVKT2+pciPEuO7f+CwLh1uIcs5NVOrSi4dpS5M7wYFbiQIX26oiW78yyl+Zks9PLkpHZD1sf4cOLQbiLjVzMuZDGTerdG8zFPBqGNZ3/5jsCwREpUajSFjgLa+obMColmYNtGj/mKj/90ackXmDdjDjloIZNVwKaGTEbHkbMInDwYbdnjVu3x9+FpnVECmjuVvnD+HFs/+USM7D7wzSE0b9Hi1hz655g8sVxODzP4QqjnX34+QszChZw/fwlDQ0PRUhOxMAY9vbsTREpA8zDqSse+yAo8z0CjVivZvj6GlVt+wD84FFtTfc78foj3391Mr+nuuE8ehdYD/OqEZ0nWjSscO3OZdh1fwtRInxO7N+G7difRi+Jo18jhLijKSb3GfA9PGr32Fu4TR5Cbdp3jZ6/QsWtXLIwNHghRDzsfhW2629bEsPXQNTxdZ2FhaiyeQqatjZWNDaZGhg97yqd8vJqr5/9i6sgpTPcNonOntqJLgYamYKGxxsbcBC0JaG6NyYOARsw5WF4uJoEWXvLaOjrPdWoTweghl5eJSYe1tLXEPIH3K9UCaITGCT41Px7YR2hwGCk3UjE0NGD6tMlMn+2Int6dS0kS0Dzl55F0uWqlQHZWBkUFBeJDrE7d+v/6MHuegUalkLMqyJGvTxWx5p211LIwIe/yCfwdZ1NryBzmz5mIrpYmF8+cpFzHhOYNHcRxLC0u5Oyp09Rt0hwzI32uXjxDbqmali1aoIGaT5OC2H2+hNioUGwszBAyyV+6eJ7M7DyMzSzQ0ygnMCCAqZ5BvNa9IymXTlGmbUGjurXFsbh8/jRKXTNsDTQ5e+EiSk0dGjdrhpmxYQXsqNWUFOVz6sw55HIFpnXqYy6Tk1Egp1WzRnclxRXyjy1b4M4Fg+aEeszC0vgfz0NVOWd+/QPDuvUxVMs5dyUZLV0DmjdriqFBxQehAEUl+blcOH+e4nIVpla2NGlQryJpqVpFypVzZOSpsK9lweXLl7Gu14i6NpbiiyT53HHSC8qxq+OApbEWaZlFNGzUgOvnz5Cl0KFVswY3LSxqstMucT29hKbNm6GrrXXzvhGA5k8mD5tM0LJVvNqnOzIJYO77THkQ0JQUFxG7MJKfDv9Kpw5tCAwOwdC45iXafRIP1WoDNKCmpKSEb3fvJiI8kuLiYqysLHF2ceKtMePuMDFJQPMkpoJ0zpqggAD+a1Ys4+uvvsbAQJ+177yHkbHgg3DvxZXnF2jUlBdk4DZ9Bhm2vXg31hV9XS0Of/E+cau3MTc4lH7dO1Nekk2opwdm7V/H12miCBRnfvsWL59IghJX0a6hDYl+7iRr1iU+IQw9bRXRzlMotG1LoO88dDUVfLllAx9v3Y19s7aU5Kajb2zOtUsXCYpJpLm9MYvmTsew53jmTh2DjrYGIW5z0LZtRt71S2ibGHPxzDEadx/OfJcpmBrqkX75FKtXr+S3E1do1Kg+566kYGeqj1btViQGe6Kvd6dPjKLgBvOcXWg1aAqTRg4SIU20cGgI/4bca2eYOWMu7bp2JjszF119TQ4d/osxs11xnDRK/Ir/Ze8uNn/8CXJtA6ysrcX8ekOmOjNmQB80SnNZGRHIjmtatNDL4+jZS0z2DmV410ZsXLeOX/88RuMmdTl3JYd61vrIrJvhO8+R7fGh7DhXSkJSFA425ijKcljt48ZpDQfCIxdgcQu8/gaagKUrebV3N3FHqtAHIT+PVO5U4EFAI6Q+WBDgx57v99OrW2eiExZhYmbxXFtpqjpHqhHQVDgJFxcV8fVXu0hanEROTg7W1tZ4eXvx+oAB6OhU3OgS0FR1eKXjnjcFCgvyiYqMEsMdCOlDtn+xHRtbuxcPaNQqcq6eZtqsuZTVbsOADo1QlxSwf+9eOvYditOcqViYmZB78ltcfGIY5BjMhDd7g6qcHz9Zzvyl21n/0UfY6BTjPsMJ2wGOxMwdibroCtPHzqD9oLeZO2cKZw59QcDCNYyaOochr/ch9fxfBM4PQrt2M5asWo5+wRmmTvBmQtBCRvXvgpYyj6njpnA1u4ypsx15c0AvvtnyDp/sOc2ipXHUtzXhw1VJ/O+Ho/gF+tG0gQNXjnxFYOwqeoxzxmv6aPR0bjepq8k59yuznb2wa92V5o3qiaZ3A0Mrhr/1JubGhpz59QdmOs3Dwq4eLp4etG9Rl/eWhHAy15rVSRH/Z+8soKs6tjD83bgr7u60QHHXtri1FGiLawIJbgkJECQkSHC3QrEWa6FIKRR3KBR31yTE5ebKW3MCPGiJkUtjM2t1vb7mnJFv5pzz37337CHiwUVGeUwib8UG9OneEWtjHVM8h3PJpDgrpozAJPwho9yHcuZRKD26dKVBw9o4OdpzatdPzPpxDwOGDqNJjXIc+mUd3n4LadHNhSH9unHqp5nM2HicKbPnUaZIPu6c2ovrmGm07j+c3m0avZVGI17QfNvyW6o0bUHhwvkxVqmwdXSmdevW2NlYoQ57idrIDJu33GfiPR/+MggzazsszP+fPFKvjSE4NAZHB/tMmaojKUETGhLMiCFDOHj4GPXrVMd32gwpaF696NOVoHktVqKiItnxyzamTPYlTqMhW7ZsDB06iOat2ig7oaSgyWyfaTme5BLY/stWfKdMJSgoWDnk9eefN5C/UJEsJ2h0Wg1XTuzDbfQEcuUtgLE4UVyn5fnTx5StXp+RwwaTw9GGY+sWMGnxdiYvXUT5ogUQu6LmeA9jx009axdPJuzuBVyG+TB4znI+L5Ofhyd20nOwD98N9aJTi3pMHtqPR1ZFGTfSjbzO9sSEPMKrWx9CitViru8IruxZy/B5W/Gdt4AKBXIQ+fAK3foPpcl3rnRp01ixtuxYPY9V+28zfYonNpoXjPWcQIU2PenWoh5mpiaEhwQzbJAbLfqMomm1Mpi+tUNLvOtO71jNEJ955CpYBEszEzAyoUa9z+n8TWvsbaw4+ttGhnlNpd+IcXRs8wV6TRRrZntw+kU2fD3dWD3Th323o/AY4YalSsvLS78z5Yd9tOraj+/aNuPx5VMMHT6G3FVaMmVkL2ytrXj58DKjXdwp0aYnA75vj5WFBeEPTtKqTR+6jJxA53bNuHl6DxMmzWWYzzQ+K1eQlTMmsufcI6ZOn0bBvDnfWtLxgqZz8844lSiBg72d4lbLX7Q0g4cMxNHGir8WjeOKcwW+/qoNpq+sNnGxMSz2GkGFtj2pVf3T+Pr0emKeHGT0/COMHTUEJ5t/x1gm91lKr9clJWieP3/KoAEDOffXBVo2/5zxk6ZgaSXPQxTzme4ETfya1REaEsrC+XPZsOEn4uI0FCpUkAkTfahQsZLy8n6dWO/1tm25yym9Pp6yX4YksHH9Ovym+hEZGYWNjQ2rV6+gZJnyWU7QaONiObx1EQu3nGXmzKlYWlig16jZ/eNC5vxykolT/ahbrgBLp/J1pjkAACAASURBVE9i84Ugls/zJ4+znXJkiodbf1SfNGFc76+5eHgX4xZsZO2qJTjZ27F/4xI85/2M98y51C5qT7/vu9Kk60A6t/lSCVx9eu0sfdxG0aDLANy+acqWBT6sO/GYxfNmKvE414/vxXPJVuZOm0JOJwdU6Fjq780VTXbGuPXh2endTF++GY9JvhTJn1txGQU/usbIMVMY7DebktntMH4rkFkImi3zJ/PjgatM8ptCbkcREKxSAkGF1cJIr2HzQh9mrDnA4nUbKFMoNxGBD5nq0gWzmt/Q95smeLr0I9DIkbJlihEWHExMrDGtOn9D9Uqf4Ghvz9kDvzFx1jImTQ+gVKG8GKPn/J6fGOS/ivEzZlGzXDFl7Dd2r6HTyADGzZjLl/Wq8uTGeUZ5eNFtkAelspkwxnMCRRt3ZmTP9lj+w8okBM33rbswzG86tWtWVdxgxqYmyryJcnSKCxdzVKNThzaoVKbY2lqjjo7Cf0APqn47mM8bVVdimcQZRkZhx+kzeR9zpk8ku52VIR+vdFFXUoLm4YMHuPTvz43rN+jQoR1jvcdhYpr+t+7/F3DTpaARAxexAs+fPX2TeM/ExARxGJ/fNH9y5c4jBc1/sTpkG+mOgBA04nBXEWMmAud9p06mUZMvs5ygUUeFsc7zWw7ryxEwyQtrK0sl8PXPdYsYs3w7Pr7+1C6REz/v0YTaFWXi2GFYmRoT+OgcvbqN4Bv3MbRpWJVdG2aw+eBTFs6dpvBcOX0cPx26yZxFM3FUPaf3d0PpPdqbLxrUEG8lDmzbwIQZixg1eRr1q5TGb8ggHmDPdD8fLMyMOLx1OTsvBOE1ZjhWFubo1KFMGOFGwZpf8f1XTTm4cQkbfzvHhBlTye7sgC4uil+93Nn20poF86ZjbmzyTk4WIWimD+/NFW1OAiZ6KNaTt4s2OoQ5o4aw47KWjVsX4mhtwZMbp+jSaSBdvHxpUt6OPl1daNFrOB1aNY4POFYZKbtHRUCwkZGOnetnsn77VWbOm4mjnS16nYY9q+cwZ9Mx5i5dQMEczhihZ+74Eazcd5kFSxdRuXg+Qh/fYuTwUVRt/z3Zo5+w/ve/mOzrQ8Fc2f6xHhMPChbv+sOT+rE/LjeRwU8J11gwdNxo8tna4OfanarfDaFx3fL8uGA6e0/c4Lu2pVmy8zkLAqZkSUFz49oVBrq6cf/BA7p268qIUaNk/Ex6dTm9/bCKc57u3bnNzOnTOXDwMELU1KhRjdEeY3Cws1KOPpAWmnT3zZUd+ogE3hY05ubmuA8aQNfuvRIMrsysQcHhgfcZ1rYtOVv2YtTA7hirdLx8ep+5fpO4r3VivNcYnMy1jB85GPOiNZkw3IXHty/hP8Gba89iGO8fQIWiOVk5tjt3neswfsQALC3MmDrChdvG+Zk+dgixobfo1WUInQeNot2X9Ql8fIsFM6Zx8PxtAuYvokQeO4YMGIBzqap4DndDpY5gzfg+RBRvQb9unTAzMSHi2XWGDxhOywFjaFqvCn+sX8SqrSeYGDCNPM42nD20i4k+0yhevQnTpnj/e4dT9BOGdO+LY8UmDHfrjeWrWJL4oGAVYU9uM3TwMCwb92Z6t8+Vbern/9iM64QFTJ63gNLOsfT/vh+1O7nSv+vXmAl3Vlw00TpjrC0t0MWE8cO43pzRlcJ3ggdWFmboNHHsWT2b6RsPM3PRPEpkt+fCwd+YPG0eGucSLFowjTyOdmjCnuM5fDh3LAuSM+IelZt+Q4eWTf4RA6TY3N/scvIQQcH1ar6JfRFj0CuCpi9Lb+rp9F0nAm9f5MTNYEYPdWXZ6AFU6eyGc9w9Nu6/SLvWTflr90Z2PTJm6SxfcmRBC82xI4cZPWo0ISEhDHQbQM/efT/iGyftqw4KfMHF82eVjpT9pCLO2bInKODSrYXmNUaRo+be3TtM9fXl8KGjmJuZUbt2TYYMdaNXLxeePInPFCxdTmm/8GQPPj6BtwWNSFDWsmUzJvn6ZS1Bo9fz8O+jtPm2H/nKVKB0kfzERUfw8N5dLLIXpF/f3lQsXxpddAgzfMay9/wDqlYsS2joS8qWc+DA3rv4L1mCY+wjenbuRf3eI+nTsRlmMY9x7TuQYk264vJdazRRIYp76l6UKWWKFyLw2RNioiIJCtOyYOVyrDQhDBroRvWvBtCvQyMint+jf8eOtB48ga9aNlHcKvdP7WDwpOWM9Z9JxRIFuHXuIOPH+2KRpzgOlsa8fBnC/WtXadChGyPd+76bw0av58XZ3+k9xAuTXEUpWbTQq3wtxnxatyEtGtXm0eUzjBw7iaF+AVQuWgCVXsf2VbNZsP00ixfMwslSxTSP4Ry7Fcynn5TBwtQETWQI1Zp9TYtGdYh8cpU+XfpTrk13RvT/Xtl+rddquXvhIAPdRuFcsiI57a15qVYRfOsvCtdph8+QnliamyOCc3/0Gc2cLfup0qQlY0YMJnd2sdvmn8/Bq6DgFt9SomYt8uTJqQg3sUurQNkadG7TkJN+rpyxr0TPXl15fvUMHjOW4TXWg01TxlCpgwvBF3cTmbsqPTs0I+zWdvpNO5RlLTS/bN3C5EmTFS/G6DGjkzzP7eO/lT5uC0ePHGH0yJGoUDFuog916tRJ34n1ksIh0mbfvn2LoYOHcPv2HSwszKlevQqnT50jPCJCCpqkAMq/ZxoCbwsa8ev2k/Jlmb9oIU4JZNXOlBYavZ6Xj+6w9MeflWyzpiLfiVZLifKfUblieexsbTAzM0Wv0/Ly3t9s3vknMVpTqteuSV7dQ/ZdiaF9x7aoX9zjh59/o16zNpQpnBf9y3ts3LKTcvWaU65oAdBruH/5NL/+cRyVsSkVK1eDmGDu3I/kq84tUYeH8su2rXz2RTtK53EkIvAJK35Yx+dtvqZE4QLKh/3hxdPsO3eDZm1akd3OBuEqO37oAKcv3sDe0YnSBXLiM8mXjn0H07Vjm3fXqdjlc+8yG37ZQ1icXnERiZc6xibUqFufzz4pw5O7N/nj4GFatvkKe1trxdpx9tAfXHoSxldtmisWnfCQEPbu+IVHQWHKL1tjE1u+/v5rstlaE/bkDuu27aFS7QZUKV/ylaDSExsdxdnjhzhx7go2NnY0blQGDzdPvug1RgmWFsy1sdH8NMOTFX9eY+zEyVSvVC6BBHl6woKD2LBiGZGYYvRqHOLohnzla9C0ZnlO+A7gjFNl+vfrwYO/jjJ+zipGjx7FJt8xVPraheDLewjPWVkRmoGXt9A/4AgLZkzOci4n4VadOyuAJUuWK4cyT/XzpUbtOpnm/fa+gWSI07ZTOgNqtZrjRw/hMWYswcEvFfeTyJYoirTQpJSmvD6jEnhb0Igx5MiRgxkzp/NZlarvHVKmFDSAVqNR8lbp9P8/28jcwgIzU9N3zNEiKZ06NhYtKsxNTRHxtmqNDgtLc+XYlZiYWMzMLTAR6fh1GmJi1ZiYmWHyKpZFE6dW7tepjOLrBjRaLaItdDrUcWolIFMEzYqdV1HRMcrfTE3ik8rFqWPR6vSYmpphbKwiNOg5ETE6rKwsMELHqf07mBKwGE//uTSoVuFfcyjcP6JPos03RWWkWKrNzc0QP/biNHGYmok+iCR5IousuF6nxMm8zk8UEx2NcOELWsYmJpibmSvJ7YQFXGy6EP9NjE8UEbcT/OwRkXEqbGyslGDra/vXM3HpLvyWrqR0vuwYqfScP7iTSdPm892AYXxer9a/8ue8PRjBOjoqCh160UWliL7F99uIo1P6s/xyDJ17duPB38e4HGLGkP7dWTbKhcrfDMAx7i7rdp3j2y5fs2nzRm4HqVgwM+sJmqAXzxnsPpBTp/+iTJnSzAiYQcFCRTLq6yxZ/c6UgkaMXGzn3rd3D35Tp/HiReCbh0IKmmStC3lRJiDwT0Ejtm4PHTaEbzp1zlKCJkNOpV7Ln5tXsXjdTlSmpoijG4Sgqly/Bf17dsTRNn1svRXCbO+6BSzafEDZSSUsXRGREXzZ7lu6dW4fb/V5doNRwzyxK1OLQX27kMvZ8YOnRFiVbu7bzPVIU9SxkcRoVVStWZc82R05umMrecpXp0Aue478+SfBsRoKFs7L/ftBNG/RFBuL/+en+eAOpLMbE9vldOrEMdzdBinxM61bt8R7wsT3Hg+UzoaUqu5kWkEjfjnExESzf98fTBg3gbCwcGmhSdVSkTdnNAL/FDTCDdGkSSMmTXl/LorMaqHJaPMWb/rQEhoayq0rF7lw5To29jmo+FkFnBwcsLe3/VdAcFqNUbg1IsPDuHPzGmfPX8bKzpHKlSuRzdkZG2ur+GDk26c4cCmQKrVqkN3BPlVnMYn3ujo2RrEuCUuUXuzCMrdQrGnCAoWRcCsaExsTQ6w6DnMLc8XqJXLjJHXafFoxTE27CQkawWne7FksWbJMqX7ylIk0a9EqUzJ4m1+mFTTxLwU9ERHh7Nqxgzlz5vIiMEi6nFLz9Mh7MxSBf8bQiJdc9uzZ8PP3pVqN2v96uUlBk/6mV7jLhJvISGWMqbmZwQ+zNNSI4w8FVCtxSsLF9XbRisMRQXHNiWMMZDEcgYQETXDgC/r27s2ly1fJlzcPq1avJlee+PPDMnPJ3ILmlY9X+LVnB8zkhx/W0K59e7nLKTOvaDm2NwQO7t/Hxo0biImJUeI0Dh85rkT8d+jQnhGjRmNi+o8Pj0aNsUnmM8vLJSEJZFYC7xM04ofLT+t/xM9vOlFR0bRp3RJP73FYWaf3k9ZTP0uZXtC8RvTo0UNm+PspOzyGDBuGpeW7p9CmHqWsQRJIXwREcGd0TIySRC4kOIg+vfvw9Olz8ubNzey5sylVuty7v6SloElfEyh7IwkkQeB9gubZ08cMcR/E+QsXlUNpfSZOoPHnXya4fTkzQc4ygkar1fLwwX2uX79G3XoNEInGZJEEsgoBsctn5dLFLFi4WMnp0a5da4aNHIW19f+DS6XLKausBjnOzELgn4JGWGfWr13D9GkziYyMpE6d2oyf6EPu3Hkyy5ATHUeWETSCgvDzxqrVipiRR9FnifUtB/mKgEisde/OHYYMGsy169dxcnJk2LAhtGrb/s2zIAWNXC6SQMYi8I6g0euVY0769enD2bPnsLO1xnfKJGrUbYDpq232GWt0Ke/twQMHGejqqrzTpvr70bBRIyVty/tKus8UnPLhyzskgaxDQOT22LDuRwIC5iAsltWqVWX6zBnYO8Rvo5WCJuusBTnSzEHgbUEjdvUuW7yIlStXK8Kmfbs2DB89Gltbu8wx2GSM4u6d24jsyEZGxjT+4kuKFy+esTMFJ2PM8hJJIMsSEIe4enuO5cDBQ8oJ3EOHuPJVxy7KQy8FTZZdFnLgGZTA24Lm0J/7GDZsJGFhYeTJnYN5CxdRomSpLOeNEG631yWxXV3SQpNBF73stiTwmoDIDHvuzBm8vby5f/8B2Zwd8fL2omGTLxAvR7nLSa4VSSDjEHgtaOLUanwnT2TTpq3Y2dkyfMQwPv+yKRYWcvNLQrMpBU3GWeeyp5JAggTEy2/Prp2M8x6PyggGDR5Ep2+/l4JGrhlJIIMReC1oRLcfPbiPp4cnVap8RveevbPENu3UTJcUNKmhJ++VBP5jAqEhITx7/hy9Tk+27NlwdnZWeiBMsmFhoWzfugVHJ2dq162Hnb29cr6QkfH7A+j+467L5iQBSSAZBERKBhEvIoo4fyssNETZxSieZ+FGliVhAlLQyNUhCWQgAtt/+YV5c+cRExtL95496NKly5vei11Pwv0kTmQ2NTPL9BlEM9C0ya5KAh9MQK/XKYJGlqQJSEGTNCN5hSSQbgj8tGE9/n7+SrZQ14ED6O/i8o++ieC5zJ0KPd1MhuyIJCAJpCsCUtCkq+mQnZEEEifw9llOA9zccB3gmiJkwjUVf/SLFD0pAicvlgQ+EgFxXpY4hDMrHGPwoQhf73JK6twqKWg+lLC8TxJIAwKpETTCJXXi2GGyZctOsRKlpEsqDeZPNikJvE3g5ctgJY9UcFAQ7oOHYW3z/yzfklQ8geDgIK5euQR6KFW6LE7OTgn+IJOCRq4aSSADEfhQQSN+4bx4/pRBbu7ExMTSseM31KxVi9x588lAwww0/7KrGZ+AeBZfBgdx5vQZ1q9dy6XLV5TMt6NGDaNZyzZZLsdMUjN69OhRRo8YqViWJ/j4UKtOHZlYLylo8u+SQEYg8KGCRmQR/mHZQubOX4JaHYetrQ0FCxXiiy+a0KJ5c7LlzJ0Rhi/7KAlkaAIiaP+P33exZfNWrly5TmhoKCLlQvYc2Rg2bChNW7RKMK1/hh54Kjqfpc5ySgUneaskkOEIfKigibfQPGfxwvns3buPwMAg5ZeglZUVOXPm4JsOX/FpxUrkyZcPSwtLzMzMMJJbRDPc+pAdTj8ElF2HajWxsbG8eP6M69eusm3LFi5evkpkRCRxr+JmKlT4BNcBAyhSrLiS6TupOJH0M8L/pidS0Pw3nGUrksB/TuBDBY3oqLDShIeFcffubfbt3cv2X37lybMXyi9CK0tLbGxtsLW1pVixIpQsWZK8+fJTsnhRChQugqmZxX8+VtmgJJDRCIjDkgOfP+bCxUs8uPeAGzducOf2bYKCXyoiRpyWLQ5TtrAwV6yjzZq3oFSZMjg5OWFsbCLFzHsmXAqajPYUyP5KAskkkBpB87oJkawrMiKCG9evcvbMOU6cOMbJE6fRaEVCLyNMTU0wMzPHwsICZycHbO3sFUuOmbkpluYW7+yPKl6yBN926ZpgOvaQly/5YeUKnjx6pCT/M1RxdHJk+GiPBOMNxBg3rlvLhfPnRdZBQzWLuYUF7kOH4ejomODHZ8umnzl5/JiS/NBQRWVkRIdOnahY6bMEq7x75xbLFi9WfvmLAEqDFJWKEiVL0rVHzwTjFqKjowiY5kdoSJhBmnxdSf6CBejT3zXBU6XFelo0bzZ379433ByrVIq46NKjB7lyvd8NK34Y7Px1G4cPHX4z3ujYWOI0GmJjYgkPC1UsoJFR0YgdTOIfYa0RJXeu7DRt3pwqVaoqQsbZyRkTU1MpZBJZOVLQGPSxkpVJAumHgCEEzevRiBdzTHQ0ISEh/HX2NHv/2MvVy1d5+uy5EmcjPhivRYiRkQojlREqI5G27/9bvmvWqsFUf3/s7B3eC+nxo0cMHjSIa1euGlTQ5M2Xm23bf0vwYxcTE4O3pye7du4y6OTZ2dmxet2PFChQMEExNXHCBDb/vEmxiBmqCKE5cfIkmrdsmWCVZ06fxqVvH2Ji1IZqVhljjVq1mDVn9ntZxwe4BvNtp294/OipwdoVFX1a4RMWLl6iiOlXuQbeqV+IhJ5dv+PsuQuGE3BA/vx5mR4QQMlSpd87HuFCmj1zOmtWr33zd9EXwUL5X7EHJz43AsbGRmTPlo2ixYpQv0EDatWug6Ojk7KbSVhGZUmagBQ0STOSV0gCGZLAvr2/KzsjxAe7bfuvaNu+farHIV7EIlgxOiqaoBfPuHL1KvcfPCQsJISXwS8Ji4hAo45VRI5Iy/52+fTTT+jjMkBxVb2viLidObMCuHf3rgEFjYocObLhO21Ggh8F8dFZtmQxx48dNejHzsbWFg8vb/LkyZPgr+qVy5fx5/79CPeDoYoQFn3696dmrdoJVnntymX8/aaijjWsoCn/ySe4Dxn6XtZi7YSGhjBxnDfPn78w1HCVeoqXKM7QESOxtLR6L2shHnx9xnP1+g0DWmggZ46cDHB3p2Chwu8dj7C4bNqwjp3/EMvCeieOJhBixcnRUTmqQKyTEiVKkDd//ngrp5m53MWUwlUiBU0KgcnLJYGMQkCYs8NCQ5Vf/+KF6eAocjIYtogPhXhpC5GjidMQp4lDq9Eo/+j0uncEgrW1NXYOjglaSkQ9wUGBSnCkwVxOKjA1NSNnrtwJfhxEX8WHNiI8Qpx0ZTBA4kgJwVy44xIK3hQ5RaIiI964GQzRuGjLKVt2BO+EihC5gc+foVNcXYYZs3B1iSBx5+zZExyvEI8hL4OJjYkxxFDf1GFhaamcS2ZqavreesV6EuONFu0azK0ojg0xxcnJWXEvvq/Ex6LFP4dvikqluI6EFVPcL/psamKKmbk5xkZG77UwGRRWJq7sj9/3MHjQEOVZ95vmT8NGjRL8ISPz0GTihSCHlvkIKKJAuIJembU/1o6If4qPhMSIaD+pPrztujLUjKRZu2IASYz5Y4w3vtkkWAuXh8E+7G9/q7PYHL9yFyW2rhOb47fvS+rZMNTzkFnrEZx/372TYUNHKNYvv2nTaNCwgRQ0mXXC5bgkAUlAEpAEJIHMSEC4uHds3cQYz/GYmZsxbfp06tStKwVNZpxsOSZJQBKQBCQBSSCzEhCC5tL5M/y8fh3BIaH07OdC+U8qykzBmXXC5bgkAUlAEpAEJIHMSEC4nEQ8XEx0FFqdDnMLS8zNzRN0c8sYmsy4CuSYJAFJQBKQBCSBTELg7Ri+xOKSpKDJJBMuhyEJSAKSgCQgCWRlAlLQZOXZl2PPsAREJtyIiDAcHAy/bTvDQpEdlwQkgSxNQAqaLD39cvAZkcCOX7exY/tvxMbG4OMzgdz5CiS5dTojjlP2WRKQBCSBlBCQgiYltOS1kkAaExC+5PVrVuPnP11J3uUzaTyff9FMCpo0nhfZvCQgCaQ9ASlo0n4OZA8kgWQTEIJm7++7GTFshJJ5t3v3rgx8lUUz2ZXICyUBSUASyBAElBSiye6pFDTJRiUvlATSB4Gb16/S5bsuhIaFU7NmdebOn69sZ5RFEpAEJIHMQiAmKoqDB/bjnC0bhQoXVU5BF0dxJFakoMkssy/HkWUIiHNzfMaN5bedeylUqCBz5s2lWPESWWb8cqCSgCSQ+QncuX2LYUOGKoeeFiiQj0WLF2Fj5yAFTeafejnCrERA7HDasulnJk2cpJxE7Dl2DM1bts5KCORYJQFJIJMTOH70KO5ubkRERNLh61Z4ePlgYmomBU0mn3c5vCxI4NjRw0ocTUREBL169cDVbVAWpCCHLAlIApmRgF6vY/PGDYwbPxELCzPFOlOh0mcYGRlLQZMZJ1yOKWsTEObYQW7u3Lx5i7p1aymn0NomYY7N2sTk6CUBSSCjEBApKbw8xrB9+04KFMjP4qVLyZsvH0YyhiajTKHspySQfAIiqV7A9OmsXbsBBwd7Jk2aSL2GjZJ84JPfgrxSEpAEJIG0IXDuzCmGDx3Ok6fPaFC/LpP9/LG1tU0yPYUMCk6b+ZKtSgKpIqDT6Tj45z7c3QYr9XTo0J6RYzwxMTFJVb0Z4eaY6IgUbOTMCCOSfZQEMh4B4f4xNbMAVfK3VSdnlOrYWGYHzGT16jVKrq2xXp60aNUaY+Ok321S0CSHsLxGEkiHBIKCAunVvTslixele89eFC9VJgtYaPTEREVgam6Z5K+1dDhlskuSQKYhoNWoMTG1MPhzGPj8OaNGDufIkeOULFmS6TNnUKRo0WS1IwVNplleciBZjUBsbCwPHz7A0cEBBwdHjIwTD5jLLHxioyMws7BO1gsus4xZjkMSSG8ENHGxGJuYGfw5PLD/D7y9xhEYGES7dq0Z4+mFhWXy8mxJQZPeVonsjyQgCSRKQAoauUAkgbQn8DEEjUYTh+eYMWz/dYcSMzNrdgBVq9dI9mCloEk2KnmhJCAJpAcCUtCkh1mQfcjqBD6GoBGbHab7+fH7nr0UL14MvxkzyJ49R7JRS0GTbFTyQklAEkgPBKSgSQ+zIPuQ1Ql8DEGj1WgICQ3h+JHDygaHxl80xTgFrnQpaLL6qpTjlwQyGAEpaDLYhMnuZkoCH0PQCFBiB6dWq1EO3zUzM08ROyloUoRLXiwJpH8CeuWFoMXE1DT9d/YDeigFzQdAk7dIAgYm8LEETWq6KQVNaujJeyWB9ERAryc6Jorfd+1SdgU0+aKpwXcgpIfhSkGTHmZB9iGrE5CCJquvADl+SeAjEohTx7J2zQ+sWLGK7NmyM3NWAHnzF8h0okYKGhCxBmq1WjHLi8RmIgGZYpHT6wl68oBnIVGULFEcExNDbOXXo4mLQx0X7waILyplXZmbm6UoxuEjLv9Eq9ZpNMSqYwUe3oxAcDMzwzQLJKP8GNyloPkYVGWdkoAkoBCIiYnmhxXLmTt3gRJQ93WHdri5D8HaxiZTEcrqgiYuOpK9v/3Kb7t/52VEDMam5lSvXpXOXbtjrYpl9vhhHH9qxPyZU8nmYMuLJ4/QmFiRO4fzB60DXVwsBzavZs32A8RqdW/qsLRzZOCgQXxSqtgH1fvf3aTn5tE/mLVwJS81r+UMGJtb8k333nxZu0oWSEhpeNpS0BieqaxREpAEXhEQcTNXLl9kQH9XXgQGYWVlxbTp/tSt3yBTWWmytKDR6/jjp1XM/OEXmjRvTrnihQh6eJu/bz1l4PBhOJnrObBrK0F6B1p+2Rg0MUwfOxynCk3o8227D7LYRIW9ZMbYwdzRONGpTTOMjY2UFWdmYUmZMmVwdLBP58+gluNb1uI9cQGt+vSidPFCytEZRiYmFCpWkny5smOcxKGH6XyAadI9QwiaSxf/Ji42lk8qVjKIqJQxNGmyFGSjksDHIRAdHcX8WQGs/OFHJTC4RPGiLFuxAucU5HL4OD0zXK1ZV9Do0cRG4+HaA3Xh6ozo3x0nawtlV4hwBZlbWGCEnqioKFTGZliYGRP47C5De/amXmdXOrVvjoW5+RtBotXEodXFWyxElmmTBLbHhgQ+ZXivjpT8oiv9unR446JRqYwUgWSkAo1Wp4gCsTtFVCnO+XnH3aXXK+tR6atoz8hIOZvn9TFAcXFxqISo0OvR6fQYm5hgbKRCp9Mq9wlXkahTtKVXqZS/aTVa9KjeaUe44v7530DD0Z/X4OWziOGzZlC/RiVlzMJlJtoxUsW7z2RJGYHUChphUR49YjiXL1/hm44d6Nq9V6rdl1LQpGwO5dWSQLomID4Y4WFh+PtObG2cLwAAIABJREFUYcvWXzAzM6N+g7qM9fLGyTlbuu57cjuXZQWNXk9sVDhj3XvxyLIokzyHUyin0/+x6bRcP7aLEdNWMch3Jo5PTjPWdx737j8hW66cWFlb0XPgUFo0rM7uDWvZuXsvUSoTJT7G2MaJIWM8KFcw178+7k/vXqFz+0709fajfbNG8YJIiACE/tBx47eFzPvlL/LmyMad+w94GRGO1io7cwP8yeHkAHotp//czcqVPxKtMkGv0xKr1tKpz0CaN6yBOuQZrq6DcC5QgLiQQO6/jKWVy0hal7Bh6lR/7j8JUtaxztiCfDmdKFqrMR3qVWGh33gemuRh0pjBWJuboNOoGTd4IHmrN6X7N60wexM/FC9ovH0WM2ruLBrWrvyGmRQyyX3q/n1dagSNEN3jvTzZu3cfGo2WFi2aMWqMB7Z2dh/eISFS9f+P8kpVRfJmSUASSB8ExC/aWzduMGzoEG7fvqu4nga6DaDzd9+n+hdQehhhlhU0gFYdw46V85i2fCMV6n/BhDHDsbe1UUSIThPHrh/nMO/XC/y4agGq6FDWLZrOvF1XmTDanfy5slOocCEijq9h+KLfaf99L2pXr0TIw+t4+fiS60sX5rq0xEiYQV4XvY7bf53g6y59KF2pKvlyZVOsK9mzlaT/wM6YGWmZOdSNLUcu0KT113zdoRWh9y8y2W8+IwIWUat0IcLvnGXgaF8atv2ORnWqQGwk/j6eULAa0zwH8fLhDXr1HUBUnBG9+/enZKkS5MmbhwM/zubHQ/cYO2YwebLbceS3zQSs3IznpKnUr1KOpdN92HU7hpVzppLN1oqIoEv06jaKfmPGU7d6JcWKE1/iBc2YcQEU+Owz8uWOzzzrlLc4A/p+j4VZ5kxv8LGf1Q8XNHr27NqFp8dYIiMjcXZ2ZsGi+ZQsWTrVqSakoPnYsy7rlwTSgIA4uPLs6ZOMGe3Bs2fPKVSoIP5+UyhdvoJBfNVpMKQ3TWZlQYNeR0jgcw7t38HqlRuJs3Cku/sQWtWrSlxsJMumjOVEkBlLAiYhdvasnDKSg8FW+I4dRg4HW2KCHzO4T38sy9Zi5MCe2JiqOLl9JTPWH6Sfty+tq5V9Z30Ia8rJP36l37Bx2NnZY2pqgsrEgs49+tO53RcYqcMZOmAAgRpLvMd7UaRAHu5fPsXosZMZ4TuTT4vk5Ed/b36/Fc10vwmYGhlx+/xBJvnNo16H3rh2ac/dvw/jOsiTKk3aMtilB/Z2try8d4XRo8fSsPtQvmpUDXMTY279dZjhQ8YyatYiKpYuzKGVs/H96RjzVy6gSE471o3qx29PLZjsP5FCeXK+tUTjBc0IDz9wcsLC0lwZY/nqjZnoNQTL9wia2KgIMDHHXIqdBB/1DxE0woJ88/pVPD08uHz5GtbWVowb702DRo2xsEjeAZSJvXukoEnLN7NsWxL4SASE4VWtjmX9j2uYPXuessW3UKEC+E/3p2Spshk6ZiBLCxrh5tFpiYqM5Pr5UyybP5Ng8/wsXzgLfXQw40YMx7JkbbwG90arUTO2byfsK7fCvWdnrCzMuXrqT1wHj6Fi7SaUL52XezfuEqcy49OqNWhSvzZ2NlbvrA0Rk7Jr7VxWHX+Cl3tvHK0tEYEstrb2WFtbEvb8AQNdXCnXoA3ufbpiaW7CmQPb8Q1Yht/s+VhHPmLQwEGY5C3Hl42rcuPaHdR6I4oWL02zZk3I7uzEyW3z8Zi+nrEzF1C3UlmMjVWc2PMzfgs2MHvhAnLnyIaRXs+pPT8x2m8Z81esoGjenLw8t43uI+cycOo8SlmF0aPfMNr0HUqPr5opY/1/iRc0HuPmMWDKJKpVLBO/5dzCCicnByWG5u2i12s59+sGtAU/5bPyxbhw4jianKWoXORtkfSRHtwMVG1KBY14J138+zz+vn5c+PuiEhvVu08vuvXoqRxEaQj3nxQ0GWgBya5KAikl8DI4iFWrVrJ61WqqVauCx1gv8ubLn9Jq0tX1WV3QvJ4MdUwE+7ctZMbyA6z7aR1xwY8YNXwEdTu60LVtE9RRz+jauhNt3cfSrmk9zExNOLpnE6PHz2DE+KmKlUN8VMS2bwcHOywtLP71UdGo1azw7EZIiZYM+L49luZm76yFB1ePMWiIN9+6e9H289qodDHsXjuD5dsvM2veHF5cPc4AlxG0dBnLd23qEKeOw8jEFDs7O6wsLTBSaVnqPYwNZ0NZuTKAfNkdQR/D9tX+rN1xnflLFmBva402NpLFUzzY/ncgK5bMJYeTPXERd+n3bX9qdeyH9vZR1p9+zoLZUymeP5cSPPxPQeM9UcTQzKZhrc/eHadeT2jwUw7s2YdtgcJUrvApobcuo3LOg6kqmoUzZxBdsBZ92zSkYJ6c3L54hlOXrpOvQEmq16iESRbdIZUSQSPEzNXLF/H2GsfVq9eU4PBOnTrQu29fnLPlMJgrXAqadPWqlp2RBAxLQKfV8vz5M7Zt2UKLVq3JkTOnkoQtI5esKmgigp8RoTXG0cEBc1MTwl48ZP30kex7YMGChbMJunOJ0R7e9J80j/rlChH94C9adBnCqCkBNKhcRpn3o7s34TlpNh5+s2lco4KyDDTqGDA2w+TVduy310ZM2ENGde5OXffxtGxQDdN/JOr7e+tcRs3bitecZVQrVRB1WCDzRw7gL10uZs2YzP1zf9K/30jaD/FhcI82StXaODU6jDA1NUYXEcgwN3eCSzdl7oBvsLE0Q6+P5rd1M1m16SILly/G2lzFuQO/4jEugPwVajPLb3y8yNGq8ejTmSDT7IQ9foSLz0SqlS6Fhdm7out1DE1CgkYTp2ZdwDjiHIvz5PlTvvmuC09+W4W+bF3szWLw9w8g0io/Pbt0oojRS+Zu3En58qW5dfEirbsPoE7VTzPy4/TBfU+uoBFi5u7tW/iMG8eZc+cRO9pqVq/K1OnTcXB0MpiYEQORguaDp1PeKAlkDALi11BUZAQWllZKwr2MXrKkoNFrObBuISt3HqfUZ9UoWTAPZw7+ztlLd+nk4k6HZg25eORXJsxYx6zlSyiQzYGIe+dp1ak/9Vq0I3/uPLRq1YLwx1cY4DaCXJ9Up2WDmhjptQTev0rlFt/xabGC7y4NvY4XFw/Ssf9YvujwPcXzxedrUamMKV+rNgUdLVg1cTQ/nQtl0dJp5MvmxMuHNxnk4kb2Ou2YPKgbkU9v4OHuxlPzvHT9po2SpvfFwxsUrliP+jUqE/7kJoMGj6SFyzBa1a2BmRBVei1n//yVsT4BNOnwPSaRzzl18SrBD29Ttm5bvIa7Ki4lsaV75pgBrP/9FLW/bIf3yIFvAqTfHUi8y8lz/Fwaf9eZsiWLiDzHqIyNKVa6HIXz5mDRpKHkqNSchnVr4GRvx/6AsagqNKJmzU+YN3ECUZ+0Z0jTSqycPRld7nLUKF+c8Ht/cSbMgZG9O2X0R+qD+p9cQSPc3UsXzmfpshWo1XGUKlmcsd7elC3/icHfR1LQfNBUypskAUkgrQhkTUGj58nty6xZuYYnEbGKhcbUyo4vmzWldKmSONpYcOHAL+w49wR3l57KB18dGcaKeQHceBqGc8FS9Ov5LZYqDRcvXGTblk3EqkwxRU/uQqVp36ENuZ0d3plScchp4PVzTJq3SkmiJyw4wpOjMremr2t/8tiZsmbZUoJtC9P7q2bYWJkT+PAui5aupFzjVrSsVRGRZfjejctsXrOaEL0FevRYO+ak8/ffkj+nE8GP7rBi9Traf9uVooUKKvWLEhb0jO0bV3H62hNy5ctP+ZJ5WDZtHvW7D6PPd80xMzFR3BaLfUaw+fgNJvlOpULZ4v+yIMXXpufBuaMsXv4jUSaWynENSmI9M3MaNWtNjYpluHvxNNt27yM0KIQeg4dzc10ARhUa0aBhVeZPmkjMp+1xa1yW6d7DeaZyokhuZzQaNbnKVOO7Fg3T6lFI03ZTImgO/LmPST6TsLGxwWeiD2XKlcfcPGUnaSdnsFLQJIeSvEYSkATSDYEsKWheBQNHREQQExMbf36TmRlWllaYmpmi0utQx0QTGatRdgmJXTzC3RgZEU6sOg4Tcwtsra2VLdkadSyRUVHEabTKnArLndht8s/gWJHNTrhjQsMjFPHwuqiMjLGztcXUxAjRH4xMsLSywsRIhThPLDomFmMTM6ytLJRbRLK9yNBQ5dgEEfhpYmb+/77EqYmKicHCPF5oxOsPLaGBT4jWmSoWIWOVhiPb17Lo56OMD5hNhSK5Uem0nNm7iakL1tG+txutG9VSYnISKnGxMUSGhxP3/5MPFEaWVtaKOHz59AlqtBxfMg5tnd7YnP0Vk4pC0FRj4aQJPMtZB4/vG7Nipg8h9qXo9nVTTIwgLg7yvLOjKt08Jh+9I8kVNMLlFBUVydnTp5RcWCVLlTa4ZebN2pR5aD76vMsGJIF0TSAsNJQLF85TsWJFrG1s03VfReeyqqBJ9xNjqA7GRbF33Ry2nw8kl7MTcTEhXL12kxqft6dvt2+UINx7l8/g4+1NripfMsylBw7/2J2Vkq6InVy/b/gBnYMzFw8cp2XfvoSc2I1p8UpU/OxTju7Yyp/n79P269aYhD/jl90HKFupEqZGOnLmKsynn5ZJSXOZ5trkCprXAxaiWBHNHzErs7TQZJrlJQciCaScgHjJ7Nq+jQULl9CwYT36ubphaZn6fBAp70ny75CCJvmsMuSV2jiePLrPsUOHOHH+MgWKFKdy5c+U08Md7GzRaTWcP7yHA5cf0a5ta/KJbd2p2GkkLFmhIcHEqjUYm5rhYG9HXHSU8u9mlhbEREYSHhmpWLKszM2JCA8lKjZOCWa1tbNP1DKUIfkns9MpFTTJrDZVl0lBkyp88mZJIGMTePL4Ie4D3bl27bri065Zszrdunen/CefKufcpMciBU16nBXD9kkIbZFHSR2rxtjEVHFHCQEhXFZKjqXYWOK0OiwszBM8gyolPRLxQq+9UUIciSMdEIHDr9oTbYp/V/7/W9e+/m8paSuzXPu2oBHz8eD+PXLlzp2mVl4paDLL6pLjkAQ+gEBkRASnTh7Hd/IUHjx8pBwYWLBgAVq1aU2nTp2wES6oj2gi/oAuS5fTh0CT90gCBiagCBpjU8LDw9i4fh1/7N1Ho8aN6NazJyYmaZMaQgoaA0+yrE4SyEgExC/hmOhorl65zNIlSzh06IjyC1gEiX722WdK8qtqNWorAaiGyORpCDbSQmMIirIOSSB1BGKiIjn/1zl+/HEdZ06fITwigjx5cuM1zouateqkrvIPvFsKmg8EJ2+TBDITAY1GQ+CLZ6xe9QPbt28nMDBY2YlgZ2dLm9Yt+eqbjuQvUDBVsQqG4iUFjaFIynokgQ8nsGnjeubNW0BgYJCScdrKypLmzZrSvWdPChYu8uEVp+JOKWhSAU/eKglkJgLipSTOCDp98gTr167hyLFTirXG0tKC2rVr4j3BB0dHpzQfshQ0aT4FsgOSAJN8xrNh/UbFclujRjVatW5D9Ro1sHdwNGj235SgloImJbTktZJAJifwOuAyJOQlWzdvYsvWXwh8EcjnnzfC03scVlbWaUxAT2x0JKbmlunGBZbGQGTzksBHJBAfCP1u0SMsun5TJnPgwEEaNGhAl+7dcXbOphyvkZodZ6kdiBQ0qSUo75cEMiEBEVsTGxPDi+fP+HPf75T/tAKfVPgszX55/R+xnujIcCVLqyySgCTwcQmI4F4LK7t3RI1Itnjq2AEiIqMoUqw0ufPmw8LCIk2FzGsKUtB83PUga5cEMiwBYa0Rbqi4OLWya0HE1CQUGHzvzi1CQ0PJniMnjo6OmJl/vBec6JdyKJAskoAkkGoCyuP06nn69/P9bwuN2LYeEhKMuYUlZmZiO33C74VUdy6FFUhBk0Jg8nJJQBJ4l4Cw5swNmMbWbTuws7PD3t6Bz5vUo0Xrdlha2Sh5QoyMjSU2SUASSEcExOGeGo2W2NhoDuzdQ/0mX8anaUhGif9RITI6/NMdlYybP+IlUtB8RLiyakkgKxB4/vQJbgNcuXjpCkZGxoolR/xys7W1oWDBguTMmUM5wyVbNify5c1L3QYNMTV9dW7PPwAJi9CjRw+VU3mTKmampuTJmyfBnBdCaD179ozIyMikqlLM5WLLqYVFwlmSw8NCefb8RZJ1iVd8tmzZsHd497DHt2+Mjo7myePH6F59GBKr1NrKitx58iR4SWxsLA8fPEiWzcrK0pLceXKjUhm9tz7xoXr8+BHR0TFJjlPwF/0ScRMJlcDAF4SEhCZZl+BfIH9+TBKpS1QSERHO82fPE+Um0usrc2lplWC7wm1y7979JJkZGxuRK1cuLBOpK57ZY8ScJlacnZxwdEo8qF7U9eL5c8LDw5Psm72dHdlz5Ei0TbFm79+7S1RkFCFhYcrZXqEhIQS/DCEoMJDHj5/w6OEjNFoN3uO8qFs/Yx+0KQVNko+avEASkAQSIyDy2Fy5fJFDBw/w94UL/P33JcIjohQzthA3wiQtPlimpiZ8Ur4s/jNnKZac95UXL54xZuRobt26nSh0UV/58mXxHj8BB0fH914rPgrT/Pw4dPBQkhMo8u74+ftSqkz59/7qFJljd/76C9OmByRZl4mpCRPGe1G1Ru0E4wrOnTmNp4dnsoRDgwZ1GOXhlaBwuHr1KoPd3BHCJqlSt24tRowek2Bwd0xMNBMnTODY0ePKDrfESsUK5RntOZZs2d//UY2Li2P5kkVs2PBzovWIX/m1alRmxJix2Ni+f12ICoRAPXb0CFMmT1E+0AmVwoULMMXXlxy5EhCBej1BL57QuXNXRB8TK/ny5cF7vDdFi5VM8DK1Wo2XhwenTp1OkJlYrwPd+tO67deJtif6s2TRQrZs2Yr21eGh77tBMGvRsjmDhgxN0EoieF26cB5vb2+CgoLRanUKQ3HUg1anVf6/CO4V/4gfIN27d8F9yLCkllC6/rsUNOl6emTnJIGMQECvfEyjo6JRx8URGxPNpQvnOHLkGFeuXOH+g4dEREQpL94GDeoyeap/goLm9q0bDHYfxPXrNxMduJmZKV26fMsAt8GYW7z/lOVLF//G28ubSxcvJQlRWJMWLpxHxc+qonrPuUBxajU+47z4edPWJD/02bM5sfXXX5Ut7u+rSxyGuGzJQubPX0RsbOLBzYJZv7696Oc6EDNz83+NQ4iOQwf+xN19sBLEnZgIER9VNzcXuvbolaAlSlgZZvpPZe26jUr8VEJFHEPQu8f39HZ1S1AciTUxa8Z0VqxYlSh/cazB/AXzqFKteoKWO1GB+PDu2fUbXmPHJWp169jpa4YMG4FtIuIoIiyMJo0bERISlmjfypUrw4yZAeQvWDDB6wQzl759OHny9Dunkr99g3C7urkPoFff/om6aYSgWbRgHkuXLE9UoIp1Ua1aZXynTiVn7rzv7ZtwKV2/dhXX/q6KJSYhYWRrY03zZk3o2bsveQsUTvJZSc8XSEGTnmdH9k0SyIAEhDVDfMxEThth8r544S8uXr6GRqOjWrUq1KlXXzk36n3l/r07zJk1h4cPHyUuaMzNaN26BS1bt0vQcvH3hfMsW7qMZ0+fJUnR2taGUaOGK7/E3xcXEBsbw5xZAZw5cy7JeGRnZ0d8/f0TjEcQQdZr1/zA3t/3KTEMiRXRl+49utKgURPF2vXvoufs2bMEzAhQgrcT81OIs7n69ulJzTp1FavZ+4o4P+mn9evYuXNPooJGxER1+Ko1zVq1TVCECMvF+rU/svO3XUnOpYfnGIqXKJXox15YAjf9tJ5du/eiidMkWGez5k3p0LFTgmtM3BgVFcVgdzfCQsMT7VvefLlxdXWlcNHiCV4njg+ZMM5bOTpEr3u/VUsI21o1q9Onv0uiLrp4ZmvYu3cfcYm5XVXg5OSkWFUqV62unDv1zyKsMTevX2XxokWKtcfSykoJ5H17fYs1Ub5MSarXrIVTtuxpdmRBkg9oMi+QgiaZoORlkoAkkHICrw8ZVNwhejAzN8M8kR1QMTExim8/Jgn3ibA2ODjYKwHICeW9iI6OUkztyXHFCItD7ty5Xn0E//1xENaB0NCQZMWDmJqYJBpbIiwfIhYkOCg4WTE0Ih5HuOgSCsAUFoKnT58maB14PWvi/hzZs2Nja/PeD6C4TvRNxFiEhIYmau0RhJycHLGzt1fipt5XRF0hoq6QkEQXjpi/nDmyY2Ut+pVw0cTFERQcRGRkVKJ9c3BwQPwj5jShIiwhjx89VmJHEisiTsg5m3Oi+ZfEOEU8VKw6cWubjY21kqvl/cI0vhfieQkODiI8PCLJ+RRWHydnpwQtUcJaJ9ZGyMtgjFRGCFdo/IGz/1/fYk0IC5nYdp1QXFXKn/q0u0M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AEpaAwEUlYjCUgCkoAkIAlIAmlHQAqatGMvW5YEJAFJQBKQBCQBAxGQgsZAIGU1koAkIAlIApKAJJB2BKSgSTv2smVJQBKQBCQBSUASMBABKWgMBFJWIwlIApKAJCAJSAJpR0AKmrRjL1uWBCQBSUASkAQkAQMRkILGQCBlNZKAJCAJSAKSgCSQdgSkoEk79rJlSUASkAQkAUlAEjAQASloDARSViMJSAKSgCQgCUgCaUdACpq0Yy9blgQkAUlAEpAEJAEDEZCCxkAgZTWSgCQgCUgCkoAkkHYEpKBJO/ayZUlAEpAEJAFJQBIwEIEUCho9sZFhRGqMcbCzwUhloF5k1mr0WmKio4mO0WPnaItxKnhp1VGERMRh52CPqdF/A0yn1RAbG0W0xhRHO0sS6r5epyUsJBRja3tszI3/m86JVvQ6oqMiiIpWozI1x9bGBtPUQP7vep7hW9LFqYlTmWBu8t8sRq0mDr2RCSZp+NLR6zTK8xyrNsXe0SLB50FZmuLZUccSqzHG1tYCQ1LS63XEqdXEarTYWlsnuJbEc6lWxxITZ4SdbeL9zfAL8r8egF5HbFQ0JlbWqXqvJ6/bGtRqMDMzSd7lWfgq1f1jP+l9F+0gKhEIDp28mfl5IdBHs3lMZ0aeKcShLdPJZW3Ix9TAs6DT8OLhDc6eOMKB58UY61ofy4Sa0Eayzc+Xrdcf/uMKM3KVKELFzxrR4vPKWKWoiy/51XsGi/dv5q/bVTlwbQVFEn73JFnz7b3TqOVyiE1Ht1EzW5KXp/qCuJAHLF0yhy1rN3E8/yAe/jIQuwRqjQm6zrd1W5LPczszOxU36Ms7sYEc37mcB+ocRN0+zNT526ncaQDLx/VN049eqsFngAo0T08xb8kRGvfpy5UNLuw4l3ini3WbiEe9vKkaWfCd0yxasJ/mQ9z5JJdZqur6oJujHjJ/SgAbd20hKHokBy/2wTGBil7e3MGA0Yt4cP8+6kZ+HJj8OeYf1Oj7bopghWdP1h95gKZADXYtn/ZeER8bepdJY4dw6Mx9dDVH8rv/16QBNYONOr1VdGrLcg6EFKR9pUAmBOxKvHv5P2W2x0BsP/jHXjBr/Vdi06I/rUon+BVLb4jSpD/xFprwO7i2Lsv8/fU49XInlR3i+6LXxPDrrN4MVrlza0jlNOnghzZ69+wvbNt/lo2zJnP00xmE/jogwQ/y6zaenlpNjWbdyVl9Kn9sGYo1kfy9cym9XDy5V6AX+7f7UtoxJa8mPR7f1mbu7hKcu5cCQaON5kWkKdnt0l6RT+1kxaiwKYTucE+S34fOVcrv0xN2Zi7tXHax+o/t5LZR8fTANEZtNGbpnEEpEjSB5zZRrYYbo/84Ta9aud90RR8TRpjKDvuUTHfKB5Lh7oh+8jfu/VbTd4UfnznFdz/ixhrqlPieCz5H0XrW+D9DrZqjy13xut+BnT5NUv9BffoHrsN3MHaBP7ls/kNL4KsRaWNC6fhFJc4EjeRMIoIm/uUZS6dq+am3/Dn9yqVimuPu4F6vMere61jQveqrisJY37EEP+VZzE8zWiXyA0LNxJZOvPz2JNM7llHund+vFtOiXLnwQ2dsUtGtLHurTs2dbZNYcq06k0c1jZ9qbQzzOzRmwMGHbDtyjlYl/i911WG3GT1qHD19l1DGLhUvk7DrDG/ajVoBP9OmSp4siz+pgb9xOS1yq0a/OU7vCBrl5pjrjJt0k9E+zQz4KyOpbhnu77P6VWDQo17JEjTqZ39TpUZdLMt6xguaV3ri2LIB1Ow9n299NrLG46sUdE7Pir4tGLQpR4oEzZOjC5jwpD0L2udIQVsf59Ilg6rT50andCZootjYsT4+TxtxYM8UnFLx01Md/oyTx65QqEoN8r0RqxpOLlxFVMee1H8l7j8O3YxW6xOmdu9KQdcVdKz8tsXlFF+oqrL3H4JGGZ3mIesWX6G9iwEEDXDhZ1++WW7Hn7+4kPO/1vtxEXRrU5eD9/olKWj0j7ZQrtVGdp9aR77UGLJ10Vw5fQZ93vKUyWuvINUFXaJm6Zo0XXUO76ZFEl5EQQepV96VkQcO0Kx4vPp8cPU4d+IKUqskJyisAAAgAElEQVR8bv57SZjR1vu/+3vn8EKa+AdxcP0Y8li+dsLHsb1HW1r+evFfgkbUcOX4EazKV6agdSoEDRD79Czf913MuA0LKWOR8Vl+jBEkLWg+Rqv/YZ3zB1TF9V6XVAma4DM/4Fy5K5W6+nBmpWcKeq9nVb+WuP2cPdmCRhN8i1Ed2/G87+/8IAXN+1mrg/BuUJdt5p34c7cnDqYpmJKkLtXF8ejyEXqtOscm/8EpdDMmVXlG/ruWyyvcabVYzeE/FpHL6u2IqkQEjaGHHHGT3sVKU2jeOTzap8b08QEdS7ag0XF9fj26nG7J8eUjPqChxG95fOoHPmkwjS03L1AnV0LX6nn06xCqed/i6P4tFLCX8iXVE6ELZWSrz7Ef+Rtj6ji/VV3igibV7b6uQK9htWtLFln2Y7dfa6zllP4LbaKCRnf/F+5YtaLoq5gNdehT9m/dwG/nLuE5eTHZXweVxIVz8Md5TFuznUc2xfEe40WrqoWVxp6dWsX3fWcRCLTzXIFnu08JOTSVhu4blL93mLiOUc1K8vT6GX7b8ANP8tVnYDVT3IfOx6HlUCb1a4SVEYRc3MWEqQs4eCmCRl1cGe/eFgtV0lG2hhA0FzePoXz7qXT22sKP41u9AzEu/AWr509i7YbjWJVvwMixI6lV7PXP+vcLmtA7J/Cb7MfOM08oWbMJg4cOp2phG+4f/5nu3w/k0M2n2BYuT0EHEzoE/MGoanpO7tnOoh/O03/J9DcuQeUX1+nfmOw/ixOPNNRv7cLw/q3IbRP/hQ97fJnNP63g/LVGTJ7fiCOLffBaeozWIyYxvH3VN0HdkfdPMXGUNyd1hRgxZgwmUXE0qh4/f/+30Lhwf910RizeSYm2Yxjv8gX2yi9kDc8uH2HDihVcqDuWpS2Loo4I4uThbWz8/SZDfcYTcfQHRo6Yh+Pn3Zjo7UbBpNzAwefwHTeFjYdvUqbJd4weOYSyr9wb9/YOp+3w3Ty5cYNQlSPFi+Uib8VGrJs/FXuLf/8U1sVFsWX+aKb+dIkeXnNpWVKDhV0xnB3NiHx2myMHD7D1mDUTZnTESXufsV9348ejp3mhsaNkxc+Ys3wNtfLbKiyig26wfO5MNm37C/uabZg2eQRFEwoserVKbh79iZmzZnH2mS1tRsxhZLNioA7n7zNH+f2PnTToNpmK+Sx4dm4bo3yWU6TLVMa2iXcPvC4vbp9goZ8/u04GUvZrN/yGtcPeSMPdS8f5Y9dRCrbtRpMithxZPZk1NwoxY3xPLLUv+fOnpSxdv5MrT8Np4eLP+B71lSp1ceH8ffIQm3cdpmnfEVTPF79er/+xlJG77Vnu9/W/4kN0EU/p/EUtHrRZzYHhNXnXOPJ+QaMJD+dmRCSlcif41f2Ad72WYxMr0uXMl9zY4pfw/ZGPWDnDl4W/HsM2dyV6jPahU/WcyvWhT2+wb9taDmkqMKPfFxxYN4tJ83ZR1WUK476v/s7Yop9cJsDXk1//VtF1lA+HZ33HkaQsNNrHjMuVjzD/E4wudYV+4xdjXvIbpo7vT/74h4aQeycZOXQiNYYvolu1V67O57to23sv87dNQ/wXTWQw504e5I+T52jffSTFc8S/cA/Mc+XLrSV5tMcNp7dfgTFB/LLYn4CNp2jk4kPezUOYb+PC/hVdsFRHcu38MfbuPkf5/oOon82U2LCHHNm9mz+PWDE4oBOO2ij2/eDLjHVXGL1iGbXyvlrc+jhuHNrE3GVrOfT3Q8o160/A+N44JeODqg5/yNa5ASzbtQ/jAo3xmzqOcrktCH92mz/37+GCSUU8vhZuykh2zPFiwvZQZq9cSLXcb60wXQTHt65g1ryN3NcXwWuOP1+UzUFcyCNOHNzPxoMqPKZ9S87ou3gNmcKnwxfRvgjEPDnH/LkL2L7zNMaFazJi8mSalBRj0hH57A67d21j/d8FWDrtq3h3uuY5Swb0wb7PHDpUyv+vtRV5dCp5eu/jr1PbKWz19q+ohAXNs9/3om7SmH/X9gFLH7j9mzflum5g58lT1Csc/16S5f8EEhY0mgiOT/8G4647qKK8j8L4fbYf42cs5km2chz6cx95FCdsKAv7d2ZLHlfWj2iG6eN9tGzSnqMRRWnZqApuUxdQ0+YIbR1rk2fxERb1rqm0HnhhC8VrfkPnhSeY107F7LEz8JuxmuwtOtLIEZ7qjMlbtwfevRpyaVcAPz8tzajOX2ATc+l/7Z11WNVJ38Y/dqyt2N2JgoA0CEpjAQIKipigoqgYICoItiAKLKiIWJjYAgrSIbbYiJ2YhHS81zkHFZV112f3ed69ds9cl394mF/MPfObuef+xjDbyIgzjcZxdvsC2tb/8Vf1ZwhNreIs0i9FMn+OE+m15Ni191cGtPqyGuc8icJ1UwRmMx0Z0KKYME9bbPzvERAewZBugsH2LaEp4815P4Zb+eJ2JB7V1vl4mCix7o0sV2N20rKO4CN+yfBerWjo9qpcoSkiZd8etgS5sjW0LVGvY1AXEMziHBL9ZhPwuD8bls+gdt4TApea4nOhK/4HtiLf6Cm+bt6s3OxHsx5uOFh+4FjsAwqeXuDktTJ2p6Zi0q4mpUUvmTnDnSluHvRvUsqFwx54pnVn9yIjYT8JCc1dA45a1mV/6CVyXqZxNOIiS/ZcxMWsP9n3Yljt58cW3730/PU6MeP7cP7wKvw2bWPbQwkOrDXlbEgSWaWFxEWE8q6dGcmnf6VPs8rl13uRAUxwTWXjHjek2tTi9CZ7LBxiWR16hAmDy+X1n1Bobm43Y3qMFMe3OpB5MQAbh+P4HD9Mo6xr+AXvYY/nOmrOv8i52dKixf7NOQa30UHvyDkW6HYX/lZW9JGE3esIvPCRSQ5OyDZ5xcy2UhQtOc3WuUqVzie5GTdYv3IDWe30cJoxnNcx6xho6M/J+2k0jZnLil1RHEnsxeUn2/kY6cn6/Vd4nXae8BpmvExwR7D0FudkcNh7OdHvOzLPaQ6t3kQh09OQqWduMLLqaZau2c6+a9nEJEZTPfUIrkucyJZaRoj7YBZbjud8z0nsXTaetnVzcR2txYqwp2gZDqa7bGdeJcdzJiSJkQGJ+FlLCdtwfpcrRtNc2HmrBLVvZuD36WGoy+syJuQ9C1S+tcNVRmhKeX7hLBcLOmCo1O0vnXNzo5xoNiqO009jUa7E0T7/dSrWQzRo5xTDCpPexHnPRGv2TjbG3WbqoGaEbJmDk80mGlgvwUWxPiHRl3n98i5nom/jcPQWS/TaCv1SPt4PZ+ryUKa7rEChTRWS97ozxdmfnLruPzQ55aeH06qrLlNXrOHxpYtQlknS2UhaTwwkZq0Z767HEXomEceVKxhoc4AQFx0hico4OA6Vvc25c3Cd4H8cmLuBwJM7uFVLm4SkAFoL+UwpnpNlSRgUxMFJnxSqMl6nRrDaOxylKbMxHNCE8HUTcHAPRS7gMoEmXUg64kHQxs3setudtJTDtC5+ylrXAPYd9qXKlFASprZim5sr8Q/fcCnqOPJu8WybMghKMwmYb4FbYif2BrswqEMjTq00w2DJEVR1hiGlORP32arfK5ml+dwO38yakEcY2zuj07UMv3ESxPYIZsc8ZYL8XfFeuxcD7zicNKrh6erO1cfvOH7qDGN9k9gyUUYYRfYhLRr31UG005/BJMOBpAZMZfjxttzeMxGfjd6E79jMxwmHiJ7UiqOblrI8OI3VkSm0TljJRIe92AQewHZod15d2ckQqckUK2mjPLAdhTl5PLkQTfS1UiIf3Wdw+2qQex8HNU1eDXNlh7Pl12O27CMHrfrg9EKFSyd38EuNikyyckJTkv+WzdY70NpjT5e/6AsovHOE5n2tmBUci4ux5F9013/Obb4hNFdp1qKJKCy4rIS87ExO38svJzRASRbeOhp4vm/whdDc2krzfn4EvYpHt6nAsFfGwZlGTNj/lKSbKfQVKnO3mVKlF1UqEJq8+5G0HaCHmW8yPhZSUPqQBdU6cWnWJk6sn06tT+G3WcnMNHRj4YmjtCknL0nrZqLs4Muy0/dwHipSEn6r/CeE5tbzUpo2+QVKi8ltpk/wLkdUenaifu0Ku4aSbPxHaZEz/wxzlOqJQjhLzmNYfRBnbQ7x1ncktb8jNPkcMtFmzt0S4uPjEWz8Xx2zoeWY80Q9jkW9iWDG+pbQiFqWutMOhXFXOVFOaF5e2stAdXcCr11Bq6OI1JXkvsVYrSdX6rlwPtKWprkvGKKuxPOaFoSdcqR9w9qUFsSjVUeFxjsectCyA4UPdjHA7Cxx57Yh6KqygnfsinyKpZ7oYxESmrOSXIjwRLr5L5S+u4xh04FUnbOZE+snCetkP09EU0GJOq4iQiMoGcen08I6kX0xYYzs0ZwaVUuJ2zIR1WkHcNwai7v1wEq6LI0J/UahsjcW6z7ljnUlWfiNboj9o8mkX9iM0B3uJwjNkXnVcP+4kfO/ThdoLIR6+aM4fXa5unQHk04jGBV1GfOOIqP0i7OudDb+lZMX0tHoLNoR3z2xAiO/bI4eXE5nwRh4fx2tDnL02XwOT7N+lbTjNavMdXk/bAvuZlJUrwI3j7siN+oqie8OIVkfTjiYMi53HEkj7hPwTp3lo/oQv9GMIVFSZJ5YJNwxhq0aj8szbU57mFG/RlXy7xyjaf8xbEu8j6m0BDeDxzBsdQ+CHHtRR2sEfarnkF+1JonOA7GKl+ROzH4aCVWrUk7MNMXiwEUSb9ynt6CjS9+xVLcpiSrHObPYQNiG0uJcwhbOobOrHz2/Cel7GO6OrM5aPG59wLLnt00WEZrT9ZvSqt4nh6YyinJrsWDHGeYN+2sJDU/20KP9eMxjclim+j0xfhDpjbLWTLxvlzGyG3y8cxIJyeGMWxWNn72yYJlkw9DGbKo9h/jdbrSoX4e8ZxcZpKxJS6XtnNw9glq5D7DpLs0vPkmsGy5qcEneW0yH9ufShyU/JDTXDy2mn8kW9iVfZpRMK6pTTMz6Uaiva8K9VwE0ycijJDMFOWVdFD0vsXNMX6qQzc7hEoT3Pcgud1F/UJiJo4E6YUobOLdUDZEmcAPz9uYYJ8Rj1E6koGTeOoGy6hzcIhIY3l9C+Nv9EytQMDzKzhfJaLUUzE5FxLr0Yv51K2L3LaZmVcEUX4TlkEHIr4+j3qlAuo4bj0K719j1lKSqUyKbxkny9rQDbS2iCLkeg25zEXt8FDaPjsbbCEq8wzhJ0fO+LY+StqAw9gT74w6g3EYwJl6ySrYDD83D8JszGHKvYN7dlDGR0RSe3kCvUY50Kb1Dh/6DGeWXgu/oPhQ/T8RQyhDTgxexUukofETsBhOsr2twd6sNVSnEebgkHVyj6f0iFRktTfKys6lbJ5NRA7qSZx1P+Fy58rDqW1hU6UPD7RfwGS/avKRHrKKf3iICz7/HtL+IpOe8ukfkjQyGa4g23p/Lx0dY95EjVcqCuAPrqbgUCLAV+tAEhdG4aTNql6cyKCst4sMbS64Xe/xlhIZ3KWg1laeu826OuJpXiv2/+cffVmiKskneaEa1sZ8UGgFMuezV08Qpo84XQpPqTwNJf3a/TMSwhYjQRMwby7CtEURcf4ZiW8Fn+AcIDY9YXKUjNxZt4fAK0UIpKK/CF9N7YjCmRiP5SuUDFIdPZ5TKX09oRE7Bszi4ZBgTV8WzdH8CzsZfL1xFHx6jrS5HbSkL0QJRsdTTZMkyXRpUotBkXDlB0NUGzLBQI//ZTU742zFuxXtOZcShK7ThVU5o0o4vR3FYBAfKCc3RFRYYOzXiZqE33T6pn6VF+FvpMjfsLmcu3EGh6QeGqKuQ3WQ5Z8PNEU1Hr7GSbs6HWfc5Mr4TJYV30e8pzaPOo5hhPQ6jEYNpWfeL6vW9U/AzXKu0JdluPae85gjvmPv6Bloqfam26AuheX1iBs3tbnDrWjg9Py1yb8+j0mwQdeZu5vS6L338Cbqc6GVImJ8m6lYk8o2+KGEZ4Y500Qlg7ZUnTOtf86cIzdMYD5SGeTNsdSCrJ6tRoWlkJ69mgE0yickHaSEMqSzl5DIzxu1sw5WbnrSrBSWvzzFiyGgMfeKZotyOwvfp/LrCkePZmuzwnELrb81nZUWkeNtgtCWP+LggOtQv5f75UJycfVBbso1pym2FzbU16E/Z6PX0rl6KzRgtqvMaF+W2XB95kgNzh5BzcwfqZv74nIlgUIs6fHxyEZcFTjwdsBD/uerUL8th5QhNTvWfzpLRmgzt/8lJ9y2+A3qzrctokg5sEm5OyorfY6c9iJh60zm7fxafxLFtM9syMW8ZJVsnCRWJnEcX8TpXl0Wje30XOXN+y3jkptzjTEYCQ75bwypTaEq4H3mQS9WkMVb/iwlNXhRKdTXodOAlu4xFZqSKJe/tA7x2pWA5zRSJvOfEH/VHd5IbFk5RBCxTFarN3oYN2dHBhxRvW9GlWQ+RHaRMg34bObV/FG+SttBdfSrB1/IY1qOcNP1BH5ots/TZVGchKatU+OS7eWfvTHp61+J1/DoEAmvqERfUTfay+95VdDrUpOBZAoPaq2Aaeo9FWiIlMu/tDXSVDBi1+wZ2A0UMMydhBX1nxBMTe5QO9QUffi5OBho8Gh3E9nE9ys1lReybK8u020Y8PumMUCvOeYB1T1mK5x8nyE5B2L/F76JRVPVk8SoNqjYxxECxM/k3guiqshLPuFhM+jTnmv8g+vu35E3iIZoKV/EyAu21mRlWk4SYQ/RvXonSWvICu8HaMPcoG4d3goJ37F65iDUX6nMwyJ1uTWvxOtqNvpPDcJ42khaalhgPaM6DSA+k9T3YfvUuI3rUxc9+KGueWXI5eBwNygpIObSKRd6XcdwWyJBuAhn/JErq7tg62iCrP4buTUXzVlFeHGpNVRkWWcxCBdF3/SxsBYPMAlkVHo9FuYnvfeoe2slaMvvkfdw0Owjr3Tm+kVzJiUh1+NqcU5KRSncpVTqoryBsp42QEH4plSs0xTnPWGkUzJjweX8doSm6w7SaPbls58c5r6nfjf1/+w8/9qF5spe0Gmb0+GwCr4TQ8IRxfdvDoofsGCsYFGXsnz6CabfUuX3GnubCMfafE5obQWoY+NQhMfIkrX7HvFRZZ/4nCs3nKKfcu4xt3Z9jXXRJvRqCaI8gKrmvrzNEuR+mgdnMUvytAMjKfWjy39/BdbwFF9qbsVTuLsrjL/w0ofGeLstM337cyN1G78+Laglh00ejuyeJfQmpjO5Q+LuERtCWFxcOYqxnQuKbKjSQkCYw/DijBojs+n8poeERTlU6EjbFg4v+9t9111W/Pgxw+oWItGg0hWqVqHy8uZV+fSajeywDH0OJnyI0lBYQ4mSA2ZZ0dsUkMrrPp8Gcz9Hp3Vnzxpbo4IUiVbK0GJsRMhyT8+HxYiWqUcJ5H11G+udy9uRBnkT4MsPtEBPX7sR+pHSlCbVKcl5iqKnAO6MdHDGphZ/bEg6860vQJhdk2n6yjzxAr1N/7jYxJyzan66CufPBMXr2m4lDbAITpRsQZCyNd6EpxwKnEunrwoRdL9kT5I2xfCehGlic/ZLhg/vTXHUl61Zb07SCST/j+Ay6TUkhKOEsI1pms91hFK43BhAd9SvtKyjlBxerYnJOm/dnnBDsT6PC96OgYUztSjI3RnsYMHju+58gNJD/7h1X379nUJe/SnD/NCKSGVxFgTa/QWhEtbI5tmouC6NLWD5JGYuxkxmz6OwfJjQ3/BegOG0Nh9OK0O1arsz+IUJTwBR1SdR33WGMiLsKS6SbAovfTyVpvZXw/wEzBzDp6QQ+Hp4lNNecC5yF4sSNnH1U9tnc9zJhAzIWl4l8EEQP4VUFhDpI45pmQcTBRaIozGtetLZK4ualvcI+FJZHJxnQyYDe60+zx36o8Ke3N47SV9mIDbFZmPYTfVuZp+xpZL6N0S6R7JktU2G855MQG0WHRtXgRRhyvaxQ25rAylFtuLZ3HoaOV9geG8fQioOpwtecHbWchrbxXI/eTU7ybqxt1zBk6Q48J2sicnssItLFAN1Vj1iy7wiLh4kUsBPLzRm1rzsPrrvQhisMbamPYXga+gVncXV2IKOHHTs8piEhkDyBZyFTkJudgmdELKO7f3FmKyspwF5fkj01JnFl3xzqPAhFXd8SubmheM+U/xytm5sWRgtJQyZvv4iHqSTFj86w9Hx33I0F69jXJf/ZeXrJaNJJY/UfJjSCO9zcHkgtqwl/HaHhAfOqdCZOTGi+6yPBDz8Z5VQZoYEn8TsY7hjBEJX2VKlVk9zc6oyfvQCZlp92+v85oXl8bBKdJ6dwMiEG7a4VU1kV8+RJBu3a/Tgm/08RmuqQdecgQzQs+CizhrP77BCKUIKp5V06WmrSoLOL8DWG1P68UJTyIOkKEgrS1PtWoalbyIVtbtj7X2O2rzdGMm15c9IOCYOEnyY0+5aMZOzy8xxPf4Bu50+rmYjQmIY8JeZqAgN+ef2HCI2gPSUF74k/uYeNa1Zz+mUXTp2PQkXiv0FouvFiZQjbFpbL6hWGZcaxabQYHorPpWvYSolCVAVFRGhWsvZROkbtf87kJJq505lvNITgRtO5eXCeaMeaeReDXgo0cw5lu42ckCSUFN1Dr5cCBgeeMlNKIM9k4ak9mNX3muO8zJoBkpL079NVlA25FCpLAJL94hya8vI0NlzJJD1Z+vXpR7f2ElSr4MCel7KStto7WJN0jok9BRNxCVe3TmLo2nTiEiLpUfMpQ6UVedpsOI6zh9FzQG+kundEqGSXP/dD+nFUpOYwM/4yUyS/J9SXj3rguD0dpcH9kOwji7K8JE1++TocLMbXGk23JqQ/X0vtpJ1cq6bJELk2lWbAvXt4EVKjdrIr/Skjv4sU/nGUU3HOB9JyoFfL72PgP946SmKmDEPlW/Pk1gOa9OpcriRWOl+JfswMRbqRHkonP7BJ78s4+XTF6xuhTByznP7z1uE8RoHi9DCa9TPE/CcIzb39S5AxX47jsTSc9buKbv1HCM3LENSND3I0fg+f3+zDVcwVdND2T8ZKtQMU3GF8F1nqrU3Ex7wvvLyMj8dqZoZK8+zyfET+sCWELemP4/sZXNo0Tfj4suxHmMkoUjx5P/vnCQh3IWfsW+H8ZhrJO92FdUry37HDdzk71x7AdF8CUwXPE/hH7ZyPhksuV65700U4h2Wz07gVSz9MIjF0Ay1rCMzNb5k1VI3krs5EbzUVBmMIyourp7BdFEAvRTX6SPZGRUme9k1/axNXROTi3pjsrcdSp3n069WX/v370FToHygqZfnvsNVRIbzWUOIPr6N1XcHfMpk/tCcPzSPYb90Hrm2kUX9vxvsuQrt7L3r170PHpvVFhKhM8C+LgBEyeBUYEX/cnQZfSyYUv7/HpsX2pNUdSM++fVFUUEGm+zdqXsZFWndSwnB5FH6zpTl9LAqFETqV59vKSkezrzz5clM5u8+Nr3Pk/X6U04crUTwoLcZjtjbt56TiPkJkmhcEVaTu9MHWfwtuuxNR61BOzD6+xG3ZbC48acWhYM8vm6e865jX7UeGwzYi10z4wUfy7/zTTxKaj+zWHYJzRh3iY8qdgssK8fJcwxjbhUh8bVisgOhDbFp14qntUQ4vHka10iLSYgOQ0Z+Jhf85fC0FNs1HOFbpyK1vTE68OINKZ11uqjlyIWQxHevWpEpZCbkP9xH9VAU9lR/7j/9ZQiNoRIyXLUPtN2PtG4H3VHWhTwSFH1g5fAhLL2YRdDoCE8n2wgWnKPMOzr++wm2hKtUpY9tUfewPtRCGbbcvfY6+hhxvFXyJ3zhMKEe/PmFHc8N4TryKR6dJTapVfyN0Cq7j/IRgsxZ8zId6dWtw5+gyFEdEcajc5PQg1hs5bTt010QTNFNVtAiVFrHZypD19adx2WcEdXNeoKmuTE5TgclpTPlCkYGVVAvezUrnmFVniouTuHShI3LyIkUm80kCgxUHYxacwXzlRmy2k2FquiUfTs4qn6BFJqcku/WEfjI5ZaQyVFmS6k7fmJxsU0m5fhrZ8oRSJS8TUO08gqnRVxknVwkRLbyEcXt5YoYF8thvLHXKJ9S34QsY+GsV7h5ZJUrOVviWJeqCsG1jok+70LiSsO2i3NucOZuLnoHIXv4kZiNKWtc4U7BVuNt9nXqIfiqW+CS8Rq9zLerUqU7BtU10GRZNxIODdC4uoWaVXDwMNNiU0ZfIyK10blwdQfr7d+nJ2NlcwyPCVui8W7HkvEhEQ16FHs7n2TZBihrVoLggl3Mhm7jScRrTFRoQu7A6C1+5kRjoKLq0KAs3Aw32/WJH9N6xNM1/iPZAJT5KLuZksC0Na1alrKSQ++dCmHOkMQfWaJO23YqBx7uQdcj5u4R1pR8SmDjDh00Bu6hX67eToKTuc0LV7CERTxZx9mI1HIb3+s1Z8NWVIJRkrLCNzmKO8rfRFT8iNGXcSTnCxyYqSHf97RTXZcUfmbQ8kFUuM6jcK+PLq5Xd3UqHXmtYdf8uY77fTLPPWQOzcGVeprgK+yf3bqiI0CyMZLOjPFVq5bNJpxG7u3qT4i3wrRIM/IfIyitTv68XoQeM+HjjKD3kjGimNp2UkPXUq12dwg/PMNVX5FrmQi6k2nwdYSRaqkkPMGBqkj4RW8tNWWXFnPUaw6xr+iRsHU+DqpB3zot6RjuJPXcW+aa5BJ/MIDNqHju7ryXOpg81alSH0jRmtpCl0YYYXEx6QI3aZN6LQFZ5OMvCn9M99xlyik1Z17g9+/XmkrRrBVWK84ndvZjcmq0wd9zB2Zg4BrRvQLUqZfjaDmRry1WkOGpQtXp1qry7ir6EDFLBF3Af3V/49h9fpqKpLI/+lscsUmtM9apVoTSHOZMmM3J9ACqN/0iu9ALOOklhHNqJq2cO0LZpXeF8/fHVLTznz8PIM4yOZbfRVhzAsO1vmacoUi3Lnh1FqudyVqVHoNmkITVurKex1C580hMw7VhXuPb1mJ0AABE3SURBVKAXfHzLie1etBw6G/kmr5GSU0FqdTzbTXp8TcLLSji63JhdbdzYZ93nt4/o+ZiGRUtJmH4QT50b3Gtrg4JQLq2klL5hveQAAlprcuHkdur+AafgT3cpyXvI0gXnWbjRhFS3apzoe60CoRHU+sByK2VUXSoQGsHPLw5jYx+Ld0VC8yoeuVZayG4Kw2e6wHwqLhUREBGawtc4GvVm5YlmHLqZzKhe3+96BBcVZz9nnIYSpzIliIqJRqpVXUjfSW9FZyS1VKld7cvkWa1Ga8zspjO0n8C2X0zIQmVG+79BV1eZBjVbYmzQC2vrKbSTN2HsXHdmdL+NRmcd8sa4cWm3U4XQyVKSgx3Rn7SORr3UUezThipFxdTrrsvSBRa0+FEIcHE+rhbdWZowkrt3POhW0YGiknHw5loIClrmVO85lZhQT5rXESlMZbkv2DBWhQXRhYyydcZttgVdJWqT/TASq+EmhL1uxRBVGRrXrkrVmhJMc3FHrlVNKPuItfYA9qb8wplriSg2z2feKFX2v5QkIjKQ1vkP2O25CJu1UagambPIyQkdqaaMVWzFgdcDMFGRRHuyM5YKDdi/SBuzVbfxSb6JzaAmUPCeg24Tcd73Dtd9IRhLNeTt+QPYbUhlqbcrPRtXI+txHGqq2uS2nEz8WQ8k6lYj78lJtPoZcM94F7d+HUu94hgm6O3AevNa1Lo24UlCENZrr7It2IMOPGDGkJ74PBpOysVdyLasSdGrC2i0lOWp/iyuHtsgnKBfpmxGUX0qja0OErfJSOinIvShMdrH8EU+bF5gRPPqBfgtmEFYHUN2LBtJg9/IHXM5ZBUGY32x8A1m1QQlMu/HYTt5BSNXbcVEVuQnkvvqKqPUtLlSrSsR0RH0lfg+y1TeNV+MFz/Aa+dKutYr5MiaqQSXmbLb0UA4ti7sXICG1SuCz0/nl9odUe8twUWPTow+Z86FVTqkF/RApqcEj0PdUDRcRSNFDaQ7N6Ps41t+6aGH/dzJ9Gj8fWa30oL3rLBSZ8XJt2hoqdGsbhXe5VZB23QKU0YpU6PgHuPb90DC8xLrLAcI21OY+Qg9tX40nhLCHLU+KPRuQuLacegsO4OkxhC6NqtNYeZHOqmbYG9jRrOaOfibdOeq2h58Z4hCsSuWnCR3uml50XfoUGQVNRluqMvA7q1ERLxCuRe6DmW9PUza7MIsS90fbEig8N1dtFQVaGQfQ8jEvhXEqVLynh5GrZ0xFy2DyQwyo175cwROkbfPBrJwQwqb9vjTquQxTi6radXdiB6y0ujJNuXesQlcaWNPmcdS7BJvoGU4jCXLVtKi6Bbubh7kNu7NkoVzaVrh232wYzjSPg25f25HpccPxG2Zhu7sGPwS4hjbtxZhW9wZbreOtr20mbnYjYlqeYzuqMRFZTuuHfeiVW3IehCLvIo+NXrYEntqJQ2r55G0YSojFh+g0UBt5Do3on4nadIitnDuzi/YLnPFeYbON2pSCZf8zNmYpovvmgnUys/g+JYVRORIsnCONW3Lo5Qu++mj5ZtP1EEvMh7nIK3WmwWaA+iyNh7VKlnIy/Um7/puWivPY3XwdtrXkUBVSZrH4WtQHZXE/juetKnTkm4tq3N94xBklqajq6tB/XqNUDO3ofedpZh6VsN3szNqKr2oX/U+k9rI0mbzWXRqfWSAhgJZ57xpo7aciHvPUG8v+hifJfmgqHaStbGLkO0pQyeBH1vOebS7D+Zl7yGoyyihO9IAZalefPb9rmQezU3bh6qyJe/bqiPfpzU1SrKpKiHFNHt75Dr8wqsUX+QmpxJ7+Vc6lC8Z6cGGDPIoJHixHd1UtOjY8C3WijIceCaBlmpf6lUvpbRqE/Qmz8JYoSvvbx5mkNo6tt+MQ63F16Rd4Oy82HgQvqk10NJSQ0tDDwNtBVrU/8bfp/gZixt354SsNcuWz0FfqVO543WljIaHuyzo45HDvYQQWlVUnEpzCDAzYHJ4GoGRKVhVSDopWDP9XRfzTNOVFTptSRIQmlb7eRZ3HKT02T7L5DtCk31tDzM9LmA5VZqDXhe/IjRvknxppe3KzqjLmA38ktlcTGtECFS5c3JD2YSFAWRXRETThWTPkd+E4j1mpaQBwZ/rybI9NgDpRoVsm2OO15k0yipOmGWlZNbuyaHIg8g0EAgaT1nnMJ7Qx51x/XU9CjVvYTp/B0ZWVphq1mSqlCWXyu9dt1kbtgQfpV+LTxETxTxNPoTbqs0k36+GqeNiFpqqlttjK+/K13dCsbBewIsKDbPZdh4bmUqc2Iqz8Js8Ad+LaV/dbNjSPSw3EkQgCNwrrmOtNYZLgoQ6gIVPLPNVGpH/IZ2tK5cTHHqLNkPNcFlgQ6/mteFjOvYKI4n8fEdN9l/zpMurCyyeu4DEd62ZMm8R5n0zmTxhCV1n+OKkK3KevBMVxOy5m9Bavg17na4EzpyIZ/yN8jt1YGXIDvTLzW93onaywmMdd7LbYGA5G5uxWgiDzR5FImlY0U/FjM1BXXGY6kZmvuhWciOn4b9EmYc3f+FGpD/r9ybQSWscK+dOoFnxI8wtJ3D3aZaocttBnAiZjpvcOJLL36R+45GsW1jC1AXHPrdSxtabbdNURYTG7gYp+2eyxW0jyVmNsJnngo2eaDf4o5LzIBZ3tzWcPP8YJRM7nO0nlacIgIdn5jJs7pmvLpfSXID/+rFUTEOTERFIXr/BnPFazpaYR2iNc2CetTYNy4nUzdANTPROZcma1ej0aSbs45fhzliuTmPKxq2Y9P0iqd8648uiZYF8aD2Q6faLMFGsRBao+EZ5T/FzXkjA2UdI61uwyMGKjuUqVd7DGOSHzWT1gQR0eoh2g4VZT7CdYU9/05XY6nf7nME1KmAx831O0GLgMByc5qLWsXyjkXUdG01b1PyCMRv49RlJ2S/ucmL3AQq79uDR4UD2nrtL1ru3NB1kwZ6gNfRp8oX8PbkQiOGMWAJPBSJVnufnN/ulLI/DMwxZckWL2Jj5fOJyXrMkCYj6cX/2ttjEjvlq3I8PpbCDIrXPb2Xlez2cu0ahbTad0b9ex0WnNUaz57PVbwsSBU9Zv2QWY5Yc4vbu6QRVn8B26/KjV0o+4DesOXEyB9jtMrzSB5fmvWHnanu8Tz9Hd+J85ozqjffEEdyRmcd2BzWmj9Qh8bHo0nqturBtuRWjJzl/uZfKfBJ9LIRHA1wL9WH+An9qq47Ba6UdW9YsoUE7DcyN1WlXwc+r4ovcitjGwhUbyGwgj90iFwwHtfpqocy8uI0xjjuQHb+WhWNkqU0Oy2zNyJNxY7n1AKHiln8vlJFj3NBd5otd+TfzIM4Pq1UXcfPZhEp5VB4UsmmuGYHp7fBc7YhaDwluH3dnxrHa7PCwp3V9Ael+wBKzqWQqO+BuO5R6VeHSDjcmedXjVMpsPnkGCI5+sdt0mbmrVzOoVQ0Kcl5y7uQubud3JvfRCQ7sTeRp9luKG8mxYddORvVv8pvZhh8mh7BgqTvP6YPlrLlY6vT/rLhe3TMT1weqHHISLOaCUsr9Q4uYHlqHbZsWfyYLWY/Os3qhM8efV2XYyKnMnqJPM6F5Cm6f3IB1cC1O7LKh4tAVpFhIvxBP+K23dKrzAG/fI6Q9fcmrvCpYOW1llc0Q6n4+UPUdv2r04JL+brbM1fq9aQkKrzK663hGRsdj3lk0PzxPXo/OlKAfXyshxd4jm+ldv5aQ0Ay/voiM3c4snjyUx0N3EmTeELdyhWZAwVX0Nz8mdJ0xKYtkWPJgCLGfFZpSYr0sMQtsSUri+nKC/Puv/W+q8ZOnbX8PTVH6cWEyr/Ha/b6W9kqLuXtqJVHtnJn6+2vYvwnzf0VbK41y+le0/P+xke+vMMl6KVYbdqFcHqVRmJfFq0fp+DpO4mi3lVxZrfXZRHUzaje5HfSQ6fxbxyx+3ZaCt3FYDrdn2p6zaLT/nYyClcBwP3o701bsQH6oM+PHKdClRW3RjrXvta8ITZ0Ub9pODEa+TX0Ksl6Q3NaaN/tnCdWQzFvH6aW2hQNX96FUISfU/yPq/9BHZ+E1dTwFZutwGNxFtKkryuN1xmPC/J2ZtbsNqTc8afc3S8Eft9kBm/M9ifO2pnGtKsL0I1lvX5KWcpBpc7axPjwG1Q4iX66i17dZf+A2U62H0/iLE+QP+/PsFltsU7U5v3G40BfvZ8un8S7woXkTvwZph2akJo1iYzmhKT7uw1PFCYyXbgkPg7FYmEJQOaER4G9rZIaUexBT+jX64WnvP/te/5T6f47QFDxjziAZymyDcRojT5O6tRGYXQVSc+bLRxzbk4TSLEu6/JWp6f8pyP/D2/E8ZBJt5qVz41o4vX+kT//DcfhfNu/d6YX0dLzBxegQ2pVnixY9v5Roryk4lliwUbc9vds35NKZfTzvaMboAb8nzXzdgscxATifKGLNssm0+Mnc67nZb8m9Fozpwu0UDlrDmXUaXP4NQqMeJkXyEiWheTD7zRvqNGtG9aIPBC52oYbFCiz6/V666f8l8v/AZ72JQKXXPBafi0G789cuCK/ivRk0t4TzCbOQ+F+fp/U7UDuY9OOy+gHCpvf8Opt14WMcLCwYMsudNh360rzgCWeu3MVkhBE1P+U8+yPdmPec9Rbm1Lb2Zbr+J8feP3KhqM5XhCZhLQOXtOF6pB4bygnNq62zeKPvhq18m699aErzuHHQhUMvh7JkluYff+C/rOafIzQlORx0NmfKhjgat29Dvdo1hSqNwHGySmsdfH0cUfiDu79/Ge7/7OYWvWfnlEGM21PAmtBkHDTEtt7/RYeX5qQybqgej6UXEOAygW7NfqEk9z3nQgPYd6EhU1QzGGzpTYc+irh4bUR3QOURTT9815JCHiTsxmfPC+Z7OND82+RQP7j40l4f0jobY9L+GS2nXebOkYnc/obQbPRwo/ab16y2m4aexzGGtClhV3gGxoMb4D19KW2nLMZUubN4d/rfHlClH9lgpY3nw94EbVmBWvdmVCnO4/7lULz2nGOikwv9JGr/7fohYfsc1ByOs3bbXqbrDaRmNch8dAUvNx+aDBlDguckTj+rg6aVIxsXmNDyK+L/x0Aty81g1+q1PFewZZ5Op5865FNAaPzKjhPkqInzlBVIr17IyGYFn52C2z7ewwibV5y6vpTs7XKo2j/EPfIZHZNWk9xEizmjBlL/6xCrP/bS/5Jaf47QlIP0/EYsu0OOce3uK2jRDb2h2owYOuizzfRfgqW4meUIHPe1ZH/SFziUDBYxzfTr84nEYP13ECjKfkPs8QOEJV3i5Yd8JHrIoD3UgMGyXSh5exGvgAjUzWch3+HP2Qqynt8jjVYMbF3J2QO/0bSXjy+SFr6TzbFVmOC+gp5vQ1ngcVjon+XjPpUDXsu5/LgLrqvHU/P9VZa7rON51fY4ujjR6H06b+p1p1/LP3di8X8H9X/oXYtyuBR7khPhcdx7kUkjia7IDNFimMag8gzUf892v7sbz6HDYcRefwQNWzBQSp6RI/To0BhiNi8jpYEOM0wGU+erSKWfbEtZATdPhdNEcxgtf/JT2unpwOmr7zF3cEevTxNSvNaw6cJtUB3PzskKRC1yZtvT1xhYjSf31kvGT1fh/LlSBpWfr/eTb/qvqv6XEJp/FWLixooRECMgRkCMgBgBMQJ/OwTEhOZv1yXiFxIjIEZAjIAYATECYgR+FgExoflZxMT1xQiIERAjIEZAjIAYgb8dAmJC87frEvELiREQIyBGQIyAGAExAj+LgJjQ/Cxi4vpiBMQIiBEQIyBGQIzA3w4BMaH523WJ+IXECIgRECMgRkCMgBiBn0VATGh+FjFxfTECYgTECIgRECMgRuBvh4CY0PztukT8QmIExAiIERAjIEZAjMDPIvB/3kRQUZuZa4UAAAAASUVORK5CYII=">
          <a:extLst>
            <a:ext uri="{FF2B5EF4-FFF2-40B4-BE49-F238E27FC236}">
              <a16:creationId xmlns:a16="http://schemas.microsoft.com/office/drawing/2014/main" id="{00F1CF0F-D251-4674-8ADB-94896E18C00B}"/>
            </a:ext>
          </a:extLst>
        </xdr:cNvPr>
        <xdr:cNvSpPr>
          <a:spLocks noChangeAspect="1" noChangeArrowheads="1"/>
        </xdr:cNvSpPr>
      </xdr:nvSpPr>
      <xdr:spPr bwMode="auto">
        <a:xfrm>
          <a:off x="5593080" y="130987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50049</xdr:colOff>
      <xdr:row>3</xdr:row>
      <xdr:rowOff>165052</xdr:rowOff>
    </xdr:from>
    <xdr:to>
      <xdr:col>50</xdr:col>
      <xdr:colOff>16423</xdr:colOff>
      <xdr:row>18</xdr:row>
      <xdr:rowOff>283126</xdr:rowOff>
    </xdr:to>
    <xdr:graphicFrame macro="">
      <xdr:nvGraphicFramePr>
        <xdr:cNvPr id="5" name="Chart 1">
          <a:extLst>
            <a:ext uri="{FF2B5EF4-FFF2-40B4-BE49-F238E27FC236}">
              <a16:creationId xmlns:a16="http://schemas.microsoft.com/office/drawing/2014/main" id="{A47F5015-8673-4206-97D4-B200C3F15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36548</xdr:colOff>
      <xdr:row>3</xdr:row>
      <xdr:rowOff>169474</xdr:rowOff>
    </xdr:from>
    <xdr:to>
      <xdr:col>62</xdr:col>
      <xdr:colOff>65690</xdr:colOff>
      <xdr:row>18</xdr:row>
      <xdr:rowOff>285855</xdr:rowOff>
    </xdr:to>
    <xdr:graphicFrame macro="">
      <xdr:nvGraphicFramePr>
        <xdr:cNvPr id="12" name="Chart 2">
          <a:extLst>
            <a:ext uri="{FF2B5EF4-FFF2-40B4-BE49-F238E27FC236}">
              <a16:creationId xmlns:a16="http://schemas.microsoft.com/office/drawing/2014/main" id="{454521B6-A522-4D6E-9558-53E4567C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37325</xdr:colOff>
      <xdr:row>18</xdr:row>
      <xdr:rowOff>309935</xdr:rowOff>
    </xdr:from>
    <xdr:to>
      <xdr:col>62</xdr:col>
      <xdr:colOff>78828</xdr:colOff>
      <xdr:row>31</xdr:row>
      <xdr:rowOff>112248</xdr:rowOff>
    </xdr:to>
    <xdr:graphicFrame macro="">
      <xdr:nvGraphicFramePr>
        <xdr:cNvPr id="15" name="Chart 3">
          <a:extLst>
            <a:ext uri="{FF2B5EF4-FFF2-40B4-BE49-F238E27FC236}">
              <a16:creationId xmlns:a16="http://schemas.microsoft.com/office/drawing/2014/main" id="{B0C7295E-037E-41D3-B678-96F79FA17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75543</xdr:colOff>
      <xdr:row>3</xdr:row>
      <xdr:rowOff>171017</xdr:rowOff>
    </xdr:from>
    <xdr:to>
      <xdr:col>74</xdr:col>
      <xdr:colOff>36129</xdr:colOff>
      <xdr:row>18</xdr:row>
      <xdr:rowOff>289303</xdr:rowOff>
    </xdr:to>
    <xdr:graphicFrame macro="">
      <xdr:nvGraphicFramePr>
        <xdr:cNvPr id="6" name="Chart 2">
          <a:extLst>
            <a:ext uri="{FF2B5EF4-FFF2-40B4-BE49-F238E27FC236}">
              <a16:creationId xmlns:a16="http://schemas.microsoft.com/office/drawing/2014/main" id="{23878EA1-561B-4126-9682-63B97535A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99</xdr:row>
      <xdr:rowOff>38100</xdr:rowOff>
    </xdr:from>
    <xdr:to>
      <xdr:col>0</xdr:col>
      <xdr:colOff>114300</xdr:colOff>
      <xdr:row>103</xdr:row>
      <xdr:rowOff>57150</xdr:rowOff>
    </xdr:to>
    <xdr:sp macro="" textlink="">
      <xdr:nvSpPr>
        <xdr:cNvPr id="2" name="Picture 3">
          <a:hlinkClick xmlns:r="http://schemas.openxmlformats.org/officeDocument/2006/relationships" r:id="rId1" tgtFrame="_parent"/>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609600" y="9105900"/>
          <a:ext cx="114300" cy="666750"/>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19228</xdr:colOff>
      <xdr:row>33</xdr:row>
      <xdr:rowOff>82534</xdr:rowOff>
    </xdr:from>
    <xdr:to>
      <xdr:col>22</xdr:col>
      <xdr:colOff>0</xdr:colOff>
      <xdr:row>49</xdr:row>
      <xdr:rowOff>155697</xdr:rowOff>
    </xdr:to>
    <xdr:graphicFrame macro="">
      <xdr:nvGraphicFramePr>
        <xdr:cNvPr id="16"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23405</xdr:colOff>
      <xdr:row>11</xdr:row>
      <xdr:rowOff>78985</xdr:rowOff>
    </xdr:from>
    <xdr:to>
      <xdr:col>22</xdr:col>
      <xdr:colOff>16169</xdr:colOff>
      <xdr:row>32</xdr:row>
      <xdr:rowOff>197303</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150452</xdr:colOff>
      <xdr:row>33</xdr:row>
      <xdr:rowOff>56729</xdr:rowOff>
    </xdr:from>
    <xdr:to>
      <xdr:col>36</xdr:col>
      <xdr:colOff>151788</xdr:colOff>
      <xdr:row>49</xdr:row>
      <xdr:rowOff>155696</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313</xdr:colOff>
      <xdr:row>11</xdr:row>
      <xdr:rowOff>131749</xdr:rowOff>
    </xdr:from>
    <xdr:to>
      <xdr:col>64</xdr:col>
      <xdr:colOff>155697</xdr:colOff>
      <xdr:row>33</xdr:row>
      <xdr:rowOff>16566</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51</xdr:col>
      <xdr:colOff>3223</xdr:colOff>
      <xdr:row>33</xdr:row>
      <xdr:rowOff>70830</xdr:rowOff>
    </xdr:from>
    <xdr:to>
      <xdr:col>64</xdr:col>
      <xdr:colOff>171451</xdr:colOff>
      <xdr:row>48</xdr:row>
      <xdr:rowOff>45544</xdr:rowOff>
    </xdr:to>
    <xdr:graphicFrame macro="">
      <xdr:nvGraphicFramePr>
        <xdr:cNvPr id="12" name="Chart 11">
          <a:extLst>
            <a:ext uri="{FF2B5EF4-FFF2-40B4-BE49-F238E27FC236}">
              <a16:creationId xmlns:a16="http://schemas.microsoft.com/office/drawing/2014/main" id="{B75B35E8-1694-4CCD-BC34-854D6A795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22412</xdr:colOff>
      <xdr:row>50</xdr:row>
      <xdr:rowOff>28575</xdr:rowOff>
    </xdr:from>
    <xdr:to>
      <xdr:col>22</xdr:col>
      <xdr:colOff>1900</xdr:colOff>
      <xdr:row>65</xdr:row>
      <xdr:rowOff>103141</xdr:rowOff>
    </xdr:to>
    <xdr:graphicFrame macro="">
      <xdr:nvGraphicFramePr>
        <xdr:cNvPr id="13" name="Chart 3">
          <a:extLst>
            <a:ext uri="{FF2B5EF4-FFF2-40B4-BE49-F238E27FC236}">
              <a16:creationId xmlns:a16="http://schemas.microsoft.com/office/drawing/2014/main" id="{8D67FA0E-D9E1-4661-8C0A-CDA50C09D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155473</xdr:colOff>
      <xdr:row>50</xdr:row>
      <xdr:rowOff>17417</xdr:rowOff>
    </xdr:from>
    <xdr:to>
      <xdr:col>36</xdr:col>
      <xdr:colOff>166007</xdr:colOff>
      <xdr:row>65</xdr:row>
      <xdr:rowOff>101238</xdr:rowOff>
    </xdr:to>
    <xdr:graphicFrame macro="">
      <xdr:nvGraphicFramePr>
        <xdr:cNvPr id="15" name="Chart 14">
          <a:extLst>
            <a:ext uri="{FF2B5EF4-FFF2-40B4-BE49-F238E27FC236}">
              <a16:creationId xmlns:a16="http://schemas.microsoft.com/office/drawing/2014/main" id="{21E4656A-CF76-4AF8-BC90-ABCB2B7C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29588</xdr:colOff>
      <xdr:row>50</xdr:row>
      <xdr:rowOff>25309</xdr:rowOff>
    </xdr:from>
    <xdr:to>
      <xdr:col>50</xdr:col>
      <xdr:colOff>182608</xdr:colOff>
      <xdr:row>65</xdr:row>
      <xdr:rowOff>103142</xdr:rowOff>
    </xdr:to>
    <xdr:graphicFrame macro="">
      <xdr:nvGraphicFramePr>
        <xdr:cNvPr id="18" name="Chart 17">
          <a:extLst>
            <a:ext uri="{FF2B5EF4-FFF2-40B4-BE49-F238E27FC236}">
              <a16:creationId xmlns:a16="http://schemas.microsoft.com/office/drawing/2014/main" id="{CE5C1B40-1D11-412F-8CE1-9B2BD7CA5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149679</xdr:colOff>
      <xdr:row>11</xdr:row>
      <xdr:rowOff>136070</xdr:rowOff>
    </xdr:from>
    <xdr:to>
      <xdr:col>29</xdr:col>
      <xdr:colOff>316775</xdr:colOff>
      <xdr:row>33</xdr:row>
      <xdr:rowOff>19050</xdr:rowOff>
    </xdr:to>
    <xdr:graphicFrame macro="">
      <xdr:nvGraphicFramePr>
        <xdr:cNvPr id="17" name="Chart 16">
          <a:extLst>
            <a:ext uri="{FF2B5EF4-FFF2-40B4-BE49-F238E27FC236}">
              <a16:creationId xmlns:a16="http://schemas.microsoft.com/office/drawing/2014/main" id="{3FEE9A43-DE29-4A4B-8733-15585A05F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340180</xdr:colOff>
      <xdr:row>11</xdr:row>
      <xdr:rowOff>136070</xdr:rowOff>
    </xdr:from>
    <xdr:to>
      <xdr:col>36</xdr:col>
      <xdr:colOff>149680</xdr:colOff>
      <xdr:row>33</xdr:row>
      <xdr:rowOff>24848</xdr:rowOff>
    </xdr:to>
    <xdr:graphicFrame macro="">
      <xdr:nvGraphicFramePr>
        <xdr:cNvPr id="19" name="Chart 18">
          <a:extLst>
            <a:ext uri="{FF2B5EF4-FFF2-40B4-BE49-F238E27FC236}">
              <a16:creationId xmlns:a16="http://schemas.microsoft.com/office/drawing/2014/main" id="{DDAAEC27-EDE6-4EFE-81B8-44164812F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37</xdr:col>
      <xdr:colOff>10886</xdr:colOff>
      <xdr:row>11</xdr:row>
      <xdr:rowOff>143420</xdr:rowOff>
    </xdr:from>
    <xdr:to>
      <xdr:col>43</xdr:col>
      <xdr:colOff>439238</xdr:colOff>
      <xdr:row>33</xdr:row>
      <xdr:rowOff>24848</xdr:rowOff>
    </xdr:to>
    <xdr:graphicFrame macro="">
      <xdr:nvGraphicFramePr>
        <xdr:cNvPr id="20" name="Chart 19">
          <a:extLst>
            <a:ext uri="{FF2B5EF4-FFF2-40B4-BE49-F238E27FC236}">
              <a16:creationId xmlns:a16="http://schemas.microsoft.com/office/drawing/2014/main" id="{4B377270-A3A0-4463-B9B8-38A72215C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43</xdr:col>
      <xdr:colOff>477610</xdr:colOff>
      <xdr:row>11</xdr:row>
      <xdr:rowOff>149134</xdr:rowOff>
    </xdr:from>
    <xdr:to>
      <xdr:col>50</xdr:col>
      <xdr:colOff>182217</xdr:colOff>
      <xdr:row>33</xdr:row>
      <xdr:rowOff>17227</xdr:rowOff>
    </xdr:to>
    <xdr:graphicFrame macro="">
      <xdr:nvGraphicFramePr>
        <xdr:cNvPr id="21" name="Chart 20">
          <a:extLst>
            <a:ext uri="{FF2B5EF4-FFF2-40B4-BE49-F238E27FC236}">
              <a16:creationId xmlns:a16="http://schemas.microsoft.com/office/drawing/2014/main" id="{9CF73B66-CDF3-4F3F-A866-77AE79331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20562</xdr:colOff>
      <xdr:row>33</xdr:row>
      <xdr:rowOff>56061</xdr:rowOff>
    </xdr:from>
    <xdr:to>
      <xdr:col>50</xdr:col>
      <xdr:colOff>182216</xdr:colOff>
      <xdr:row>49</xdr:row>
      <xdr:rowOff>155697</xdr:rowOff>
    </xdr:to>
    <xdr:graphicFrame macro="">
      <xdr:nvGraphicFramePr>
        <xdr:cNvPr id="22" name="Chart 21">
          <a:extLst>
            <a:ext uri="{FF2B5EF4-FFF2-40B4-BE49-F238E27FC236}">
              <a16:creationId xmlns:a16="http://schemas.microsoft.com/office/drawing/2014/main" id="{E2A8ACB1-AA23-4969-A7B8-D09C8029E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371475</xdr:colOff>
      <xdr:row>12</xdr:row>
      <xdr:rowOff>38100</xdr:rowOff>
    </xdr:from>
    <xdr:to>
      <xdr:col>12</xdr:col>
      <xdr:colOff>1285875</xdr:colOff>
      <xdr:row>20</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4114800" y="2324100"/>
          <a:ext cx="4105275"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This sheet to be hidden when distributed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americas/Megadude/kw/2004/Projects/Los%20Angeles%20Times/04020-02%20LA%20Times%20Orange%20County%20Plant/04020-02%20Work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Lease"/>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Sarah McDowell" id="{3207828F-ED18-4126-ABC9-F71369087BAE}" userId="S::Sarah.McDowell@arup.com::82bd669f-1db0-47db-87f2-d8e65a60d24a" providerId="AD"/>
  <person displayName="Elizabeth Joyce" id="{424E29B3-A492-40C3-BA65-3E445A637B1E}" userId="S::Elizabeth.Joyce@arup.com::ae13d4e5-fed7-4e95-ae9b-5a1840c49fc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var/folders/sk/_qkzw3vd0ls1xcgqph86cnq00000gn/T/com.microsoft.Outlook/Outlook%20Temp/210920%20NYSERDA%20Decarb%20DRAFT%20V1-4_EBC%20Typ%20Bldg%5b4%5d.xlsx%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zabeth Joyce" refreshedDate="44459.751834722221" createdVersion="6" refreshedVersion="7" minRefreshableVersion="3" recordCount="24" xr:uid="{00000000-000A-0000-FFFF-FFFF00000000}">
  <cacheSource type="worksheet">
    <worksheetSource ref="B10:AF34" sheet=".xlsx].xlsx]Equipment Inventory" r:id="rId2"/>
  </cacheSource>
  <cacheFields count="31">
    <cacheField name="System" numFmtId="0">
      <sharedItems containsBlank="1"/>
    </cacheField>
    <cacheField name="Item" numFmtId="0">
      <sharedItems containsBlank="1"/>
    </cacheField>
    <cacheField name="ID" numFmtId="0">
      <sharedItems containsBlank="1" count="13">
        <s v="CH-XX"/>
        <s v="CHWP-XX"/>
        <s v="CT-XX"/>
        <s v="CWP-XX"/>
        <s v="AHU-XX"/>
        <s v="N/A"/>
        <s v="VAV-XX"/>
        <s v="HHWP-XX"/>
        <s v="HWP-XX"/>
        <s v="HX-XX"/>
        <s v="B-XX"/>
        <m/>
        <s v="AHU 1 Motor" u="1"/>
      </sharedItems>
    </cacheField>
    <cacheField name="Description" numFmtId="0">
      <sharedItems containsBlank="1"/>
    </cacheField>
    <cacheField name="Location" numFmtId="0">
      <sharedItems containsBlank="1"/>
    </cacheField>
    <cacheField name="Area / System Served" numFmtId="0">
      <sharedItems containsBlank="1"/>
    </cacheField>
    <cacheField name="Type" numFmtId="0">
      <sharedItems containsBlank="1"/>
    </cacheField>
    <cacheField name="Tenants Own / Operate ?" numFmtId="0">
      <sharedItems containsBlank="1"/>
    </cacheField>
    <cacheField name="Fuel Source" numFmtId="0">
      <sharedItems containsBlank="1"/>
    </cacheField>
    <cacheField name="Estimated Percentage of Fuel Energy Use" numFmtId="0">
      <sharedItems containsString="0" containsBlank="1" containsNumber="1" minValue="0.05" maxValue="1"/>
    </cacheField>
    <cacheField name="Estimated Peak Demand (kW)" numFmtId="0">
      <sharedItems containsString="0" containsBlank="1" containsNumber="1" containsInteger="1" minValue="0" maxValue="6000"/>
    </cacheField>
    <cacheField name="Daily Demand Profile" numFmtId="0">
      <sharedItems containsBlank="1"/>
    </cacheField>
    <cacheField name="Seasonal Demand Profile" numFmtId="0">
      <sharedItems containsBlank="1"/>
    </cacheField>
    <cacheField name="Estimated Annual Electricity Use (kWh)" numFmtId="168">
      <sharedItems containsSemiMixedTypes="0" containsString="0" containsNumber="1" containsInteger="1" minValue="0" maxValue="7600000"/>
    </cacheField>
    <cacheField name="Estimated Annual Natural Gas Use (therms)" numFmtId="168">
      <sharedItems containsSemiMixedTypes="0" containsString="0" containsNumber="1" containsInteger="1" minValue="0" maxValue="0"/>
    </cacheField>
    <cacheField name="Estimated Annual Purchased Steam Use (lbs District Steam)" numFmtId="168">
      <sharedItems containsSemiMixedTypes="0" containsString="0" containsNumber="1" containsInteger="1" minValue="0" maxValue="70000000"/>
    </cacheField>
    <cacheField name="Estimated Annual Purchased Chilled Water Use (MMBtu)" numFmtId="168">
      <sharedItems containsSemiMixedTypes="0" containsString="0" containsNumber="1" containsInteger="1" minValue="0" maxValue="0"/>
    </cacheField>
    <cacheField name="Estimated Annual Purchased Hot Water Use (MMBtu)" numFmtId="168">
      <sharedItems containsSemiMixedTypes="0" containsString="0" containsNumber="1" containsInteger="1" minValue="0" maxValue="0"/>
    </cacheField>
    <cacheField name="Estimated Annual Fuel Oil Use (gallons (Fuel Oil #2))" numFmtId="168">
      <sharedItems containsSemiMixedTypes="0" containsString="0" containsNumber="1" containsInteger="1" minValue="0" maxValue="0"/>
    </cacheField>
    <cacheField name="Estimated Annual Propane Use (gallons (Propane))" numFmtId="168">
      <sharedItems containsSemiMixedTypes="0" containsString="0" containsNumber="1" containsInteger="1" minValue="0" maxValue="0"/>
    </cacheField>
    <cacheField name="Estimated Annual Coal Use (short ton (coal))" numFmtId="168">
      <sharedItems containsSemiMixedTypes="0" containsString="0" containsNumber="1" containsInteger="1" minValue="0" maxValue="0"/>
    </cacheField>
    <cacheField name="Estimated Annual Energy Use (kBTU)" numFmtId="168">
      <sharedItems containsSemiMixedTypes="0" containsString="0" containsNumber="1" containsInteger="1" minValue="0" maxValue="83580000"/>
    </cacheField>
    <cacheField name="Estimated Annual Emissions (tons CO2eq)" numFmtId="168">
      <sharedItems containsSemiMixedTypes="0" containsString="0" containsNumber="1" minValue="0" maxValue="3145.1"/>
    </cacheField>
    <cacheField name="Approx Year Installed" numFmtId="0">
      <sharedItems containsString="0" containsBlank="1" containsNumber="1" containsInteger="1" minValue="2000" maxValue="2020"/>
    </cacheField>
    <cacheField name="EUL (ASHRAE)" numFmtId="0">
      <sharedItems containsSemiMixedTypes="0" containsString="0" containsNumber="1" containsInteger="1" minValue="0" maxValue="25"/>
    </cacheField>
    <cacheField name="Est Replacement Cost" numFmtId="167">
      <sharedItems containsString="0" containsBlank="1" containsNumber="1" containsInteger="1" minValue="0" maxValue="6000000"/>
    </cacheField>
    <cacheField name="Energy Savings from Minimum Efficiency Replacement" numFmtId="9">
      <sharedItems containsString="0" containsBlank="1" containsNumber="1" minValue="0" maxValue="0.05"/>
    </cacheField>
    <cacheField name="Energy Savings" numFmtId="173">
      <sharedItems containsSemiMixedTypes="0" containsString="0" containsNumber="1" containsInteger="1" minValue="0" maxValue="56000"/>
    </cacheField>
    <cacheField name="Estimated Emissions Reductions (tons CO2eq)" numFmtId="1">
      <sharedItems containsSemiMixedTypes="0" containsString="0" containsNumber="1" minValue="0" maxValue="62.902000000000001"/>
    </cacheField>
    <cacheField name="Bins for Forecasting" numFmtId="49">
      <sharedItems count="3">
        <s v="11 to 15"/>
        <s v="6 to 10"/>
        <s v="1 to 5"/>
      </sharedItems>
    </cacheField>
    <cacheField name="RUL (ASHRAE)" numFmtId="0">
      <sharedItems containsSemiMixedTypes="0" containsString="0" containsNumber="1" containsInteger="1" minValue="-202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s v="Space Cooling "/>
    <s v="Packaged Chiller - Centrifugal"/>
    <x v="0"/>
    <s v="6000 tons of Centrifugal Water-Cooled Chillers"/>
    <s v="Basement"/>
    <s v="All"/>
    <s v="Cooling Plant"/>
    <s v="No"/>
    <s v="Electricity"/>
    <n v="0.2"/>
    <n v="6000"/>
    <s v="Afternoon Weekday Peak"/>
    <s v="Summer Peak"/>
    <n v="7600000"/>
    <n v="0"/>
    <n v="0"/>
    <n v="0"/>
    <n v="0"/>
    <n v="0"/>
    <n v="0"/>
    <n v="0"/>
    <n v="25931200"/>
    <n v="643.64400000000001"/>
    <n v="2008"/>
    <n v="25"/>
    <n v="3000000"/>
    <n v="0.05"/>
    <n v="52800"/>
    <n v="32.182200000000002"/>
    <x v="0"/>
    <n v="12"/>
  </r>
  <r>
    <s v="Water Distribution"/>
    <s v="Pump - Base-mounted"/>
    <x v="1"/>
    <s v="Primary &amp; secondary chilled water pumps, 600hp"/>
    <s v="Basement"/>
    <s v="All"/>
    <s v="Cooling Plant"/>
    <s v="No"/>
    <s v="Electricity"/>
    <n v="0.05"/>
    <n v="500"/>
    <s v="Afternoon Weekday Peak"/>
    <s v="Summer Peak"/>
    <n v="1900000"/>
    <n v="0"/>
    <n v="0"/>
    <n v="0"/>
    <n v="0"/>
    <n v="0"/>
    <n v="0"/>
    <n v="0"/>
    <n v="6482800"/>
    <n v="160.911"/>
    <n v="2008"/>
    <n v="20"/>
    <n v="300000"/>
    <n v="0.02"/>
    <n v="5280"/>
    <n v="3.2182200000000001"/>
    <x v="1"/>
    <n v="7"/>
  </r>
  <r>
    <s v="Space Cooling "/>
    <s v="Cooling Tower - Galvanized Metal"/>
    <x v="2"/>
    <s v="6000 tons of Cooling Towers"/>
    <s v="Roof"/>
    <s v="Chillers"/>
    <s v="Cooling Plant"/>
    <s v="No"/>
    <s v="Electricity"/>
    <n v="0.05"/>
    <n v="200"/>
    <s v="Afternoon Weekday Peak"/>
    <s v="Summer Peak"/>
    <n v="1900000"/>
    <n v="0"/>
    <n v="0"/>
    <n v="0"/>
    <n v="0"/>
    <n v="0"/>
    <n v="0"/>
    <n v="0"/>
    <n v="6482800"/>
    <n v="160.911"/>
    <n v="2008"/>
    <n v="22"/>
    <n v="1500000"/>
    <n v="0"/>
    <n v="0"/>
    <n v="0"/>
    <x v="1"/>
    <n v="9"/>
  </r>
  <r>
    <s v="Water Distribution"/>
    <s v="Pump - Base-mounted"/>
    <x v="3"/>
    <s v="Condenser water pumps, 350hp"/>
    <s v="Roof"/>
    <s v="Chillers"/>
    <s v="Cooling Plant"/>
    <s v="No"/>
    <s v="Electricity"/>
    <n v="0.05"/>
    <n v="300"/>
    <s v="Afternoon Weekday Peak"/>
    <s v="Summer Peak"/>
    <n v="1900000"/>
    <n v="0"/>
    <n v="0"/>
    <n v="0"/>
    <n v="0"/>
    <n v="0"/>
    <n v="0"/>
    <n v="0"/>
    <n v="6482800"/>
    <n v="160.911"/>
    <n v="2008"/>
    <n v="20"/>
    <n v="200000"/>
    <n v="0.02"/>
    <n v="5280"/>
    <n v="3.2182200000000001"/>
    <x v="1"/>
    <n v="7"/>
  </r>
  <r>
    <s v="Air Distribution"/>
    <s v="AC Water Cooled Package Unit"/>
    <x v="4"/>
    <s v="Floor by floor AHUs with CHW and HHW coils"/>
    <s v="Each floor"/>
    <s v="Tenant floors"/>
    <s v="Air Distribution"/>
    <s v="Yes"/>
    <s v="Electricity"/>
    <n v="0.15"/>
    <n v="1500"/>
    <s v="Midday Weekday Peak"/>
    <s v="Constant Demand"/>
    <n v="5700000"/>
    <n v="0"/>
    <n v="0"/>
    <n v="0"/>
    <n v="0"/>
    <n v="0"/>
    <n v="0"/>
    <n v="0"/>
    <n v="19448400"/>
    <n v="482.733"/>
    <n v="2010"/>
    <n v="24"/>
    <n v="3000000"/>
    <n v="0.02"/>
    <n v="15840"/>
    <n v="9.6546599999999998"/>
    <x v="0"/>
    <n v="13"/>
  </r>
  <r>
    <s v="Lighting "/>
    <m/>
    <x v="5"/>
    <s v="Floor by floor lighting loads"/>
    <s v="Each floor"/>
    <s v="Tenant floors"/>
    <s v="Lighting"/>
    <s v="Yes"/>
    <s v="Electricity"/>
    <n v="0.1"/>
    <n v="2000"/>
    <s v="Midday Weekday Peak"/>
    <s v="Constant Demand"/>
    <n v="3800000"/>
    <n v="0"/>
    <n v="0"/>
    <n v="0"/>
    <n v="0"/>
    <n v="0"/>
    <n v="0"/>
    <n v="0"/>
    <n v="12965600"/>
    <n v="321.822"/>
    <n v="2018"/>
    <n v="0"/>
    <n v="6000000"/>
    <n v="0.02"/>
    <n v="10560"/>
    <n v="6.4364400000000002"/>
    <x v="2"/>
    <n v="-3"/>
  </r>
  <r>
    <s v="Plug Loads"/>
    <m/>
    <x v="5"/>
    <s v="Floor by floor plug loads"/>
    <s v="Each floor"/>
    <s v="Tenant floors"/>
    <s v="Plugs"/>
    <s v="Yes"/>
    <s v="Electricity"/>
    <n v="0.15"/>
    <n v="3000"/>
    <s v="Midday Weekday Peak"/>
    <s v="Constant Demand"/>
    <n v="5700000"/>
    <n v="0"/>
    <n v="0"/>
    <n v="0"/>
    <n v="0"/>
    <n v="0"/>
    <n v="0"/>
    <n v="0"/>
    <n v="19448400"/>
    <n v="482.733"/>
    <n v="2020"/>
    <n v="0"/>
    <n v="0"/>
    <n v="0"/>
    <n v="0"/>
    <n v="0"/>
    <x v="2"/>
    <n v="-1"/>
  </r>
  <r>
    <s v="Space Heating "/>
    <s v="Electric Coils "/>
    <x v="6"/>
    <s v="Floor by floor perimeter VAV-RH boxes with electric &amp; HHW coils"/>
    <s v="Each floor"/>
    <s v="Tenant floors perimeters"/>
    <s v="Heating Plant"/>
    <s v="Yes"/>
    <s v="Electricity"/>
    <n v="0.1"/>
    <n v="2000"/>
    <s v="Morning Weekday Peak"/>
    <s v="Winter Peak"/>
    <n v="3800000"/>
    <n v="0"/>
    <n v="0"/>
    <n v="0"/>
    <n v="0"/>
    <n v="0"/>
    <n v="0"/>
    <n v="0"/>
    <n v="12965600"/>
    <n v="321.822"/>
    <n v="2015"/>
    <n v="15"/>
    <n v="900000"/>
    <n v="0"/>
    <n v="0"/>
    <n v="0"/>
    <x v="1"/>
    <n v="9"/>
  </r>
  <r>
    <s v="Water Distribution"/>
    <s v="Pump - Pipe-mounted"/>
    <x v="7"/>
    <s v="Heating hot water distribution pumps, 400 hp"/>
    <s v="Basement"/>
    <s v="All"/>
    <s v="Heating Plant"/>
    <s v="No"/>
    <s v="Electricity"/>
    <n v="0.05"/>
    <n v="300"/>
    <s v="Morning Weekday Peak"/>
    <s v="Winter Peak"/>
    <n v="1900000"/>
    <n v="0"/>
    <n v="0"/>
    <n v="0"/>
    <n v="0"/>
    <n v="0"/>
    <n v="0"/>
    <n v="0"/>
    <n v="6482800"/>
    <n v="160.911"/>
    <n v="2010"/>
    <n v="10"/>
    <n v="200000"/>
    <n v="0.02"/>
    <n v="5280"/>
    <n v="3.2182200000000001"/>
    <x v="2"/>
    <n v="-1"/>
  </r>
  <r>
    <s v="Water Distribution"/>
    <s v="Pump - Pipe-mounted"/>
    <x v="8"/>
    <s v="Domestic hot water distribution pumps, 250hp"/>
    <s v="Each floor"/>
    <s v="Tenant floors"/>
    <s v="DHW/SHW"/>
    <s v="No"/>
    <s v="Electricity"/>
    <n v="0.05"/>
    <n v="200"/>
    <s v="Morning Weekday Peak"/>
    <s v="Constant Demand"/>
    <n v="1900000"/>
    <n v="0"/>
    <n v="0"/>
    <n v="0"/>
    <n v="0"/>
    <n v="0"/>
    <n v="0"/>
    <n v="0"/>
    <n v="6482800"/>
    <n v="160.911"/>
    <n v="2010"/>
    <n v="10"/>
    <n v="150000"/>
    <n v="0.02"/>
    <n v="5280"/>
    <n v="3.2182200000000001"/>
    <x v="2"/>
    <n v="-1"/>
  </r>
  <r>
    <s v="Space Heating "/>
    <s v="Heat Exhanger (Shell and Tube)"/>
    <x v="9"/>
    <s v="Steam to HHW/DHW HX's, 25 MMBH"/>
    <s v="Basement"/>
    <s v="All"/>
    <s v="Heating Plant + DHW/SHW"/>
    <s v="No"/>
    <s v="Purchased Steam"/>
    <n v="1"/>
    <n v="0"/>
    <s v="Morning Weekday Peak"/>
    <s v="Winter Peak"/>
    <n v="0"/>
    <n v="0"/>
    <n v="70000000"/>
    <n v="0"/>
    <n v="0"/>
    <n v="0"/>
    <n v="0"/>
    <n v="0"/>
    <n v="83580000"/>
    <n v="3145.1"/>
    <n v="2000"/>
    <n v="24"/>
    <n v="500000"/>
    <n v="0.02"/>
    <n v="56000"/>
    <n v="62.902000000000001"/>
    <x v="2"/>
    <n v="3"/>
  </r>
  <r>
    <s v="SHW/DHW"/>
    <s v="Boiler - electric"/>
    <x v="10"/>
    <s v="Electric coils for DHW tank top-up"/>
    <s v="Each floor"/>
    <s v="Tenant floors"/>
    <s v="DHW/SHW"/>
    <s v="No"/>
    <s v="Electricity"/>
    <n v="0.05"/>
    <n v="1000"/>
    <s v="Morning Weekday Peak"/>
    <s v="Constant Demand"/>
    <n v="1900000"/>
    <n v="0"/>
    <n v="0"/>
    <n v="0"/>
    <n v="0"/>
    <n v="0"/>
    <n v="0"/>
    <n v="0"/>
    <n v="6482800"/>
    <n v="160.911"/>
    <n v="2010"/>
    <n v="21"/>
    <n v="300000"/>
    <n v="0.02"/>
    <n v="5280"/>
    <n v="3.2182200000000001"/>
    <x v="0"/>
    <n v="10"/>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r>
    <m/>
    <m/>
    <x v="11"/>
    <m/>
    <m/>
    <m/>
    <m/>
    <m/>
    <m/>
    <m/>
    <m/>
    <m/>
    <m/>
    <n v="0"/>
    <n v="0"/>
    <n v="0"/>
    <n v="0"/>
    <n v="0"/>
    <n v="0"/>
    <n v="0"/>
    <n v="0"/>
    <n v="0"/>
    <n v="0"/>
    <m/>
    <n v="0"/>
    <m/>
    <m/>
    <n v="0"/>
    <n v="0"/>
    <x v="2"/>
    <n v="-20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899"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3">
  <location ref="AI6:AK22" firstHeaderRow="0" firstDataRow="1" firstDataCol="1"/>
  <pivotFields count="31">
    <pivotField showAll="0"/>
    <pivotField showAll="0"/>
    <pivotField axis="axisRow" showAll="0">
      <items count="14">
        <item m="1" x="12"/>
        <item x="4"/>
        <item x="10"/>
        <item x="1"/>
        <item x="0"/>
        <item x="2"/>
        <item x="3"/>
        <item x="7"/>
        <item x="8"/>
        <item x="9"/>
        <item x="5"/>
        <item x="6"/>
        <item x="11"/>
        <item t="default"/>
      </items>
    </pivotField>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numFmtId="168" showAll="0"/>
    <pivotField numFmtId="168" showAll="0"/>
    <pivotField numFmtId="168" showAll="0"/>
    <pivotField numFmtId="168" showAll="0"/>
    <pivotField numFmtId="168" showAll="0"/>
    <pivotField showAll="0"/>
    <pivotField showAll="0"/>
    <pivotField showAll="0"/>
    <pivotField showAll="0"/>
    <pivotField dataField="1" showAll="0"/>
    <pivotField showAll="0"/>
    <pivotField dataField="1" showAll="0"/>
    <pivotField showAll="0"/>
    <pivotField axis="axisRow" showAll="0">
      <items count="4">
        <item x="2"/>
        <item x="0"/>
        <item x="1"/>
        <item t="default"/>
      </items>
    </pivotField>
    <pivotField showAll="0"/>
  </pivotFields>
  <rowFields count="2">
    <field x="29"/>
    <field x="2"/>
  </rowFields>
  <rowItems count="16">
    <i>
      <x/>
    </i>
    <i r="1">
      <x v="7"/>
    </i>
    <i r="1">
      <x v="8"/>
    </i>
    <i r="1">
      <x v="9"/>
    </i>
    <i r="1">
      <x v="10"/>
    </i>
    <i r="1">
      <x v="12"/>
    </i>
    <i>
      <x v="1"/>
    </i>
    <i r="1">
      <x v="1"/>
    </i>
    <i r="1">
      <x v="2"/>
    </i>
    <i r="1">
      <x v="4"/>
    </i>
    <i>
      <x v="2"/>
    </i>
    <i r="1">
      <x v="3"/>
    </i>
    <i r="1">
      <x v="5"/>
    </i>
    <i r="1">
      <x v="6"/>
    </i>
    <i r="1">
      <x v="11"/>
    </i>
    <i t="grand">
      <x/>
    </i>
  </rowItems>
  <colFields count="1">
    <field x="-2"/>
  </colFields>
  <colItems count="2">
    <i>
      <x/>
    </i>
    <i i="1">
      <x v="1"/>
    </i>
  </colItems>
  <dataFields count="2">
    <dataField name="Sum of Est Replacement Cost" fld="25" baseField="0" baseItem="0"/>
    <dataField name="Sum of Energy Savings" fld="27" baseField="0" baseItem="0"/>
  </dataFields>
  <chartFormats count="2">
    <chartFormat chart="2" format="9" series="1">
      <pivotArea type="data" outline="0" fieldPosition="0">
        <references count="1">
          <reference field="4294967294" count="1" selected="0">
            <x v="1"/>
          </reference>
        </references>
      </pivotArea>
    </chartFormat>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6" dT="2021-05-04T18:10:56.29" personId="{424E29B3-A492-40C3-BA65-3E445A637B1E}" id="{9C1C1EC6-FB95-4BDA-BF9D-5C41D2A33EAD}">
    <text>Absolute peak demand savings, not shifting.</text>
  </threadedComment>
  <threadedComment ref="R26" dT="2021-05-04T17:48:38.93" personId="{424E29B3-A492-40C3-BA65-3E445A637B1E}" id="{09CC72C4-9264-482C-AF56-33E85FDE94CC}">
    <text>Assumes a 85% power factor, which is typical for commercial buildings.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436" dT="2021-04-21T15:23:33.25" personId="{424E29B3-A492-40C3-BA65-3E445A637B1E}" id="{34D1EDFD-7623-4F52-BBD7-92F562AA2F6E}">
    <text>No changes to this scenario</text>
  </threadedComment>
  <threadedComment ref="A437" dT="2021-04-21T15:23:41.94" personId="{424E29B3-A492-40C3-BA65-3E445A637B1E}" id="{A041C5A3-7D61-4F75-BCE9-E8E1CD450F33}">
    <text>No offsets in this scenario</text>
  </threadedComment>
  <threadedComment ref="A438" dT="2021-04-21T15:23:58.16" personId="{424E29B3-A492-40C3-BA65-3E445A637B1E}" id="{D3960D00-CDAE-4C14-B6E8-D1E6A45FEA2A}">
    <text>Offsets automatic in this scenario</text>
  </threadedComment>
</ThreadedComments>
</file>

<file path=xl/threadedComments/threadedComment3.xml><?xml version="1.0" encoding="utf-8"?>
<ThreadedComments xmlns="http://schemas.microsoft.com/office/spreadsheetml/2018/threadedcomments" xmlns:x="http://schemas.openxmlformats.org/spreadsheetml/2006/main">
  <threadedComment ref="Q28" dT="2021-04-22T15:50:13.45" personId="{3207828F-ED18-4126-ABC9-F71369087BAE}" id="{B9C251D7-BDEC-4B46-82B6-90F1524DB3E6}">
    <text>just class 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8" Type="http://schemas.openxmlformats.org/officeDocument/2006/relationships/hyperlink" Target="https://rentguidelinesboard.cityofnewyork.us/wp-content/uploads/2019/08/2019-IE.pdf" TargetMode="External"/><Relationship Id="rId3" Type="http://schemas.openxmlformats.org/officeDocument/2006/relationships/hyperlink" Target="https://fmlink.com/articles/boma-highest-lowest-total-operating-expenses-us-cities/" TargetMode="External"/><Relationship Id="rId7" Type="http://schemas.openxmlformats.org/officeDocument/2006/relationships/hyperlink" Target="https://www.naahq.org/news-publications/units/september-2019/article/2019-naa-survey-operating-income-expenses-rental" TargetMode="External"/><Relationship Id="rId12" Type="http://schemas.microsoft.com/office/2017/10/relationships/threadedComment" Target="../threadedComments/threadedComment3.xml"/><Relationship Id="rId2" Type="http://schemas.openxmlformats.org/officeDocument/2006/relationships/hyperlink" Target="https://ww2.energy.ca.gov/title24/2016standards/ACM_Supporting_Content/" TargetMode="External"/><Relationship Id="rId1" Type="http://schemas.openxmlformats.org/officeDocument/2006/relationships/hyperlink" Target="https://fmlink.com/articles/boma-releases-office-industrial-benchmarking-reports/" TargetMode="External"/><Relationship Id="rId6" Type="http://schemas.openxmlformats.org/officeDocument/2006/relationships/hyperlink" Target="https://rentguidelinesboard.cityofnewyork.us/wp-content/uploads/2019/08/2019-IE.pdf" TargetMode="External"/><Relationship Id="rId11" Type="http://schemas.openxmlformats.org/officeDocument/2006/relationships/comments" Target="../comments4.xml"/><Relationship Id="rId5" Type="http://schemas.openxmlformats.org/officeDocument/2006/relationships/hyperlink" Target="https://www.nreionline.com/node/79501/gallery?slide=10" TargetMode="External"/><Relationship Id="rId10" Type="http://schemas.openxmlformats.org/officeDocument/2006/relationships/vmlDrawing" Target="../drawings/vmlDrawing4.vml"/><Relationship Id="rId4" Type="http://schemas.openxmlformats.org/officeDocument/2006/relationships/hyperlink" Target="https://www.boma.org/BOMA/Research-Resources/3-BOMA-Spaces/Newsroom/PR91818.aspx"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spiraxsarco.com/Resources/Pages/Steam-Tables/saturated-steam.asp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03CD-511E-4BC1-AE7B-22F813DB01EB}">
  <sheetPr codeName="Sheet2">
    <tabColor rgb="FF00B0F0"/>
  </sheetPr>
  <dimension ref="A1:Z43"/>
  <sheetViews>
    <sheetView tabSelected="1" zoomScale="70" zoomScaleNormal="70" workbookViewId="0"/>
  </sheetViews>
  <sheetFormatPr defaultColWidth="8.85546875" defaultRowHeight="15"/>
  <cols>
    <col min="1" max="1" width="8.85546875" style="45"/>
    <col min="2" max="2" width="39.7109375" style="45" customWidth="1"/>
    <col min="3" max="3" width="14" style="45" customWidth="1"/>
    <col min="4" max="4" width="17.140625" style="45" customWidth="1"/>
    <col min="5" max="5" width="15.42578125" style="45" customWidth="1"/>
    <col min="6" max="10" width="14" style="45" customWidth="1"/>
    <col min="11" max="11" width="17.85546875" style="45" customWidth="1"/>
    <col min="12" max="12" width="15.42578125" style="45" customWidth="1"/>
    <col min="13" max="16" width="14" style="45" customWidth="1"/>
    <col min="17" max="17" width="13.42578125" style="45" customWidth="1"/>
    <col min="18" max="18" width="50.140625" style="45" customWidth="1"/>
    <col min="19" max="19" width="12.42578125" style="45" customWidth="1"/>
    <col min="20" max="20" width="9.28515625" style="45" customWidth="1"/>
    <col min="21" max="21" width="8.85546875" style="45"/>
    <col min="22" max="22" width="51" style="45" customWidth="1"/>
    <col min="23" max="23" width="11.42578125" style="45" bestFit="1" customWidth="1"/>
    <col min="24" max="24" width="22.42578125" style="45" customWidth="1"/>
    <col min="25" max="25" width="8.85546875" style="45"/>
    <col min="26" max="26" width="70.85546875" style="45" customWidth="1"/>
    <col min="27" max="16384" width="8.85546875" style="45"/>
  </cols>
  <sheetData>
    <row r="1" spans="1:26" ht="15" customHeight="1">
      <c r="A1" s="444" t="s">
        <v>0</v>
      </c>
    </row>
    <row r="2" spans="1:26" ht="15" customHeight="1" thickBot="1">
      <c r="B2" s="280" t="s">
        <v>1</v>
      </c>
    </row>
    <row r="3" spans="1:26" ht="15" customHeight="1" thickBot="1">
      <c r="B3" s="803" t="s">
        <v>2</v>
      </c>
      <c r="C3" s="801" t="s">
        <v>3</v>
      </c>
      <c r="D3" s="801" t="s">
        <v>4</v>
      </c>
      <c r="E3" s="801" t="s">
        <v>5</v>
      </c>
      <c r="F3" s="801" t="s">
        <v>6</v>
      </c>
      <c r="G3" s="801" t="s">
        <v>7</v>
      </c>
      <c r="H3" s="801" t="s">
        <v>8</v>
      </c>
      <c r="I3" s="806" t="s">
        <v>9</v>
      </c>
      <c r="R3" s="439" t="s">
        <v>10</v>
      </c>
      <c r="S3" s="440"/>
      <c r="T3" s="431"/>
      <c r="V3" s="439" t="s">
        <v>11</v>
      </c>
      <c r="W3" s="440"/>
      <c r="X3" s="431"/>
      <c r="Z3" s="743" t="s">
        <v>12</v>
      </c>
    </row>
    <row r="4" spans="1:26" ht="15" customHeight="1">
      <c r="B4" s="804"/>
      <c r="C4" s="802"/>
      <c r="D4" s="802"/>
      <c r="E4" s="802"/>
      <c r="F4" s="802"/>
      <c r="G4" s="802"/>
      <c r="H4" s="802"/>
      <c r="I4" s="807"/>
      <c r="R4" s="442" t="str">
        <f>'Building Info &amp; Assumptions'!A50</f>
        <v>Assessed value from tax records</v>
      </c>
      <c r="S4" s="436">
        <f>'Building Info &amp; Assumptions'!B50</f>
        <v>640000000</v>
      </c>
      <c r="T4" s="430"/>
      <c r="V4" s="442" t="s">
        <v>13</v>
      </c>
      <c r="W4" s="670">
        <f>'Building Info &amp; Assumptions'!B378</f>
        <v>19156.560851999999</v>
      </c>
      <c r="X4" s="447" t="s">
        <v>14</v>
      </c>
      <c r="Z4" s="744" t="str">
        <f>IF(ISBLANK('Narrative &amp; Measures'!A28),"",'Narrative &amp; Measures'!A28)</f>
        <v>Replace 6000 tons of centrifugal chillers with highly efficient</v>
      </c>
    </row>
    <row r="5" spans="1:26" ht="15" customHeight="1" thickBot="1">
      <c r="B5" s="805"/>
      <c r="C5" s="753" t="s">
        <v>15</v>
      </c>
      <c r="D5" s="753" t="s">
        <v>15</v>
      </c>
      <c r="E5" s="753" t="s">
        <v>15</v>
      </c>
      <c r="F5" s="753" t="s">
        <v>15</v>
      </c>
      <c r="G5" s="753" t="s">
        <v>16</v>
      </c>
      <c r="H5" s="753" t="s">
        <v>17</v>
      </c>
      <c r="I5" s="808"/>
      <c r="R5" s="442" t="str">
        <f>'Building Info &amp; Assumptions'!A51</f>
        <v>Management Type</v>
      </c>
      <c r="S5" s="435" t="str">
        <f>'Building Info &amp; Assumptions'!B51</f>
        <v>3rd Party</v>
      </c>
      <c r="T5" s="430"/>
      <c r="V5" s="442" t="s">
        <v>18</v>
      </c>
      <c r="W5" s="671">
        <f>'Building Info &amp; Assumptions'!E355</f>
        <v>277206800</v>
      </c>
      <c r="X5" s="447" t="s">
        <v>19</v>
      </c>
      <c r="Z5" s="745" t="str">
        <f>IF(ISBLANK('Narrative &amp; Measures'!A29),"",'Narrative &amp; Measures'!A29)</f>
        <v>Partial 2000 tons replacement of centrifugal chillers (w/other measures)</v>
      </c>
    </row>
    <row r="6" spans="1:26" ht="15" customHeight="1">
      <c r="B6" s="758" t="str">
        <f>Alternatives!B13:I13</f>
        <v>Baseline - Reactive Fines</v>
      </c>
      <c r="C6" s="436">
        <f ca="1">Alternatives!D28</f>
        <v>210080</v>
      </c>
      <c r="D6" s="436">
        <f ca="1">Alternatives!E28</f>
        <v>16050000</v>
      </c>
      <c r="E6" s="436">
        <f ca="1">Alternatives!F28</f>
        <v>16050000</v>
      </c>
      <c r="F6" s="436">
        <f ca="1">Alternatives!G28</f>
        <v>621001.86234152003</v>
      </c>
      <c r="G6" s="756">
        <f ca="1">'Operating Statements'!M306</f>
        <v>1165.8811358841208</v>
      </c>
      <c r="H6" s="789">
        <f ca="1">E6/C6</f>
        <v>76.399466869763899</v>
      </c>
      <c r="I6" s="762">
        <f ca="1">IF(ISERROR('Operating Statements'!W480),"Never",'Operating Statements'!W480)</f>
        <v>2024</v>
      </c>
      <c r="R6" s="442" t="str">
        <f>'Building Info &amp; Assumptions'!A52</f>
        <v>Annual Rent</v>
      </c>
      <c r="S6" s="436">
        <f>'Building Info &amp; Assumptions'!B52</f>
        <v>122910661.11111112</v>
      </c>
      <c r="T6" s="430"/>
      <c r="V6" s="442" t="s">
        <v>20</v>
      </c>
      <c r="W6" s="448">
        <f>'Building Info &amp; Assumptions'!E360</f>
        <v>0</v>
      </c>
      <c r="X6" s="449" t="s">
        <v>19</v>
      </c>
      <c r="Z6" s="745" t="str">
        <f>IF(ISBLANK('Narrative &amp; Measures'!A30),"",'Narrative &amp; Measures'!A30)</f>
        <v>Add 2000 tons heat recovery chillers to enable simultaneous heating and cooling</v>
      </c>
    </row>
    <row r="7" spans="1:26" ht="15" customHeight="1">
      <c r="B7" s="758" t="str">
        <f>Alternatives!B30:I30</f>
        <v>Baseline - Offset Based Compliance</v>
      </c>
      <c r="C7" s="436">
        <f ca="1">Alternatives!D33</f>
        <v>210080</v>
      </c>
      <c r="D7" s="436">
        <f ca="1">Alternatives!E33</f>
        <v>16050000</v>
      </c>
      <c r="E7" s="436">
        <f ca="1">Alternatives!F33</f>
        <v>16050000</v>
      </c>
      <c r="F7" s="436">
        <f ca="1">Alternatives!G33</f>
        <v>82908.386616058531</v>
      </c>
      <c r="G7" s="756">
        <f ca="1">'Operating Statements'!M307</f>
        <v>1154.2174263982665</v>
      </c>
      <c r="H7" s="789">
        <f t="shared" ref="H7:H10" ca="1" si="0">E7/C7</f>
        <v>76.399466869763899</v>
      </c>
      <c r="I7" s="762" t="str">
        <f ca="1">IF(ISERROR('Operating Statements'!W481),"Never",'Operating Statements'!W481)</f>
        <v>Never</v>
      </c>
      <c r="R7" s="442" t="str">
        <f>'Building Info &amp; Assumptions'!A53</f>
        <v>Net Lettable Area, or Rentable SF</v>
      </c>
      <c r="S7" s="436">
        <f>'Building Info &amp; Assumptions'!B53</f>
        <v>1360000</v>
      </c>
      <c r="T7" s="430"/>
      <c r="V7" s="442" t="s">
        <v>21</v>
      </c>
      <c r="W7" s="672">
        <f>'Building Info &amp; Assumptions'!B372</f>
        <v>173.25425000000001</v>
      </c>
      <c r="X7" s="449" t="s">
        <v>22</v>
      </c>
      <c r="Z7" s="745" t="str">
        <f>IF(ISBLANK('Narrative &amp; Measures'!A31),"",'Narrative &amp; Measures'!A31)</f>
        <v>Heat pump boilers / chillers for HHW (20 MMBH)</v>
      </c>
    </row>
    <row r="8" spans="1:26" ht="15" customHeight="1">
      <c r="B8" s="758" t="s">
        <v>23</v>
      </c>
      <c r="C8" s="436">
        <f>Alternatives!D59</f>
        <v>2232000</v>
      </c>
      <c r="D8" s="436">
        <f>Alternatives!E59</f>
        <v>33900000</v>
      </c>
      <c r="E8" s="436">
        <f>Alternatives!F59</f>
        <v>33900000</v>
      </c>
      <c r="F8" s="436">
        <f>Alternatives!G59</f>
        <v>34736.017667972344</v>
      </c>
      <c r="G8" s="756">
        <f>'Operating Statements'!M309</f>
        <v>1163.5343993982056</v>
      </c>
      <c r="H8" s="789">
        <f t="shared" si="0"/>
        <v>15.188172043010752</v>
      </c>
      <c r="I8" s="762" t="str">
        <f>IF(ISERROR('Operating Statements'!W482),"Never",'Operating Statements'!W482)</f>
        <v>Never</v>
      </c>
      <c r="R8" s="442" t="str">
        <f>'Building Info &amp; Assumptions'!A54</f>
        <v>Annual Maintenance Costs</v>
      </c>
      <c r="S8" s="436">
        <f>'Building Info &amp; Assumptions'!B54</f>
        <v>7040000.0000000009</v>
      </c>
      <c r="T8" s="430"/>
      <c r="V8" s="442" t="s">
        <v>24</v>
      </c>
      <c r="W8" s="672">
        <f>'Building Info &amp; Assumptions'!B374</f>
        <v>105.3455</v>
      </c>
      <c r="X8" s="449" t="s">
        <v>22</v>
      </c>
      <c r="Z8" s="745" t="str">
        <f>IF(ISBLANK('Narrative &amp; Measures'!A32),"",'Narrative &amp; Measures'!A32)</f>
        <v>Electric boilers for HHW top-up 140F to 180F (5 MMBH)</v>
      </c>
    </row>
    <row r="9" spans="1:26" ht="15" customHeight="1">
      <c r="B9" s="758" t="s">
        <v>25</v>
      </c>
      <c r="C9" s="436">
        <f>Alternatives!D84</f>
        <v>892000</v>
      </c>
      <c r="D9" s="436">
        <f>Alternatives!E84</f>
        <v>9200000</v>
      </c>
      <c r="E9" s="436">
        <f>Alternatives!F84</f>
        <v>9200000</v>
      </c>
      <c r="F9" s="436">
        <f>Alternatives!G84</f>
        <v>43564.129876835745</v>
      </c>
      <c r="G9" s="756">
        <f>'Operating Statements'!M310</f>
        <v>1169.8690494601281</v>
      </c>
      <c r="H9" s="789">
        <f t="shared" si="0"/>
        <v>10.31390134529148</v>
      </c>
      <c r="I9" s="762" t="str">
        <f>IF(ISERROR('Operating Statements'!W483),"Never",'Operating Statements'!W483)</f>
        <v>Never</v>
      </c>
      <c r="R9" s="442" t="str">
        <f>'Building Info &amp; Assumptions'!A55</f>
        <v>Annual Utility Costs</v>
      </c>
      <c r="S9" s="436">
        <f>'Building Info &amp; Assumptions'!B55</f>
        <v>6680000</v>
      </c>
      <c r="T9" s="430"/>
      <c r="V9" s="442" t="s">
        <v>26</v>
      </c>
      <c r="W9" s="672">
        <f>'Building Info &amp; Assumptions'!B376</f>
        <v>67.908749999999998</v>
      </c>
      <c r="X9" s="449" t="s">
        <v>22</v>
      </c>
      <c r="Z9" s="745" t="str">
        <f>IF(ISBLANK('Narrative &amp; Measures'!A33),"",'Narrative &amp; Measures'!A33)</f>
        <v>Electric boilers for primary HHW delivery (20 MMBH)</v>
      </c>
    </row>
    <row r="10" spans="1:26" ht="15" customHeight="1" thickBot="1">
      <c r="B10" s="759" t="s">
        <v>27</v>
      </c>
      <c r="C10" s="763">
        <f>Alternatives!D109</f>
        <v>597000</v>
      </c>
      <c r="D10" s="763">
        <f>Alternatives!E109</f>
        <v>7500000</v>
      </c>
      <c r="E10" s="763">
        <f>Alternatives!F109</f>
        <v>7500000</v>
      </c>
      <c r="F10" s="763">
        <f>Alternatives!G109</f>
        <v>47367.656325428346</v>
      </c>
      <c r="G10" s="760">
        <f>'Operating Statements'!M311</f>
        <v>1168.0532352788448</v>
      </c>
      <c r="H10" s="790">
        <f t="shared" si="0"/>
        <v>12.562814070351759</v>
      </c>
      <c r="I10" s="764" t="str">
        <f>IF(ISERROR('Operating Statements'!W484),"Never",'Operating Statements'!W484)</f>
        <v>Never</v>
      </c>
      <c r="R10" s="442" t="str">
        <f>'Building Info &amp; Assumptions'!A56</f>
        <v>Other Annual Income</v>
      </c>
      <c r="S10" s="436">
        <f>'Building Info &amp; Assumptions'!B56</f>
        <v>0</v>
      </c>
      <c r="T10" s="430"/>
      <c r="V10" s="442" t="s">
        <v>28</v>
      </c>
      <c r="W10" s="672">
        <f>'Building Info &amp; Assumptions'!B375</f>
        <v>0</v>
      </c>
      <c r="X10" s="449" t="s">
        <v>22</v>
      </c>
      <c r="Z10" s="745" t="str">
        <f>IF(ISBLANK('Narrative &amp; Measures'!A34),"",'Narrative &amp; Measures'!A34)</f>
        <v>Tenant AHU and VAV-RH box HHW coil replacement for 140F</v>
      </c>
    </row>
    <row r="11" spans="1:26" ht="15" customHeight="1" thickBot="1">
      <c r="O11" s="434"/>
      <c r="R11" s="443" t="str">
        <f>'Building Info &amp; Assumptions'!A57</f>
        <v>Holding Period (Years)</v>
      </c>
      <c r="S11" s="437">
        <f>'Building Info &amp; Assumptions'!B57</f>
        <v>20</v>
      </c>
      <c r="T11" s="438" t="s">
        <v>17</v>
      </c>
      <c r="V11" s="443" t="s">
        <v>29</v>
      </c>
      <c r="W11" s="787">
        <f>'Building Info &amp; Assumptions'!B377</f>
        <v>6.5650000000000004</v>
      </c>
      <c r="X11" s="450" t="s">
        <v>30</v>
      </c>
      <c r="Z11" s="745" t="str">
        <f>IF(ISBLANK('Narrative &amp; Measures'!A35),"",'Narrative &amp; Measures'!A35)</f>
        <v>Tenant HVAC controls to improve distribution delivery</v>
      </c>
    </row>
    <row r="12" spans="1:26" ht="15" customHeight="1" thickBot="1">
      <c r="B12" s="280" t="s">
        <v>31</v>
      </c>
      <c r="C12" s="785" t="s">
        <v>32</v>
      </c>
      <c r="D12" s="280"/>
      <c r="E12" s="280"/>
      <c r="F12" s="280"/>
      <c r="G12" s="280"/>
      <c r="H12" s="280"/>
      <c r="I12" s="280"/>
      <c r="J12" s="785" t="s">
        <v>33</v>
      </c>
      <c r="K12" s="280"/>
      <c r="L12" s="280"/>
      <c r="M12" s="280"/>
      <c r="N12" s="280"/>
      <c r="O12" s="280"/>
      <c r="P12" s="280"/>
      <c r="Z12" s="745" t="str">
        <f>IF(ISBLANK('Narrative &amp; Measures'!A36),"",'Narrative &amp; Measures'!A36)</f>
        <v>Heat pump water heaters for DHW/SHW (5 MMBH)</v>
      </c>
    </row>
    <row r="13" spans="1:26" ht="15" customHeight="1" thickBot="1">
      <c r="B13" s="803" t="s">
        <v>2</v>
      </c>
      <c r="C13" s="801" t="s">
        <v>34</v>
      </c>
      <c r="D13" s="801" t="s">
        <v>35</v>
      </c>
      <c r="E13" s="801" t="s">
        <v>36</v>
      </c>
      <c r="F13" s="801" t="s">
        <v>37</v>
      </c>
      <c r="G13" s="801" t="s">
        <v>38</v>
      </c>
      <c r="H13" s="801" t="s">
        <v>35</v>
      </c>
      <c r="I13" s="801" t="s">
        <v>36</v>
      </c>
      <c r="J13" s="801" t="s">
        <v>34</v>
      </c>
      <c r="K13" s="801" t="s">
        <v>35</v>
      </c>
      <c r="L13" s="801" t="s">
        <v>36</v>
      </c>
      <c r="M13" s="801" t="s">
        <v>37</v>
      </c>
      <c r="N13" s="801" t="s">
        <v>38</v>
      </c>
      <c r="O13" s="801" t="s">
        <v>35</v>
      </c>
      <c r="P13" s="806" t="s">
        <v>36</v>
      </c>
      <c r="R13" s="441" t="s">
        <v>39</v>
      </c>
      <c r="S13" s="440"/>
      <c r="T13" s="431"/>
      <c r="V13" s="686" t="s">
        <v>40</v>
      </c>
      <c r="W13" s="427"/>
      <c r="X13" s="428"/>
      <c r="Z13" s="745" t="str">
        <f>IF(ISBLANK('Narrative &amp; Measures'!A37),"",'Narrative &amp; Measures'!A37)</f>
        <v>Electric coil water heaters for DHW/SHW (5 MMBH)</v>
      </c>
    </row>
    <row r="14" spans="1:26" ht="15" customHeight="1">
      <c r="B14" s="804"/>
      <c r="C14" s="802"/>
      <c r="D14" s="802"/>
      <c r="E14" s="802"/>
      <c r="F14" s="802"/>
      <c r="G14" s="802"/>
      <c r="H14" s="802"/>
      <c r="I14" s="802"/>
      <c r="J14" s="802"/>
      <c r="K14" s="802"/>
      <c r="L14" s="802"/>
      <c r="M14" s="802"/>
      <c r="N14" s="802"/>
      <c r="O14" s="802"/>
      <c r="P14" s="807"/>
      <c r="R14" s="679" t="str">
        <f>'Building Info &amp; Assumptions'!A62</f>
        <v>Management Fee</v>
      </c>
      <c r="S14" s="766">
        <f>'Building Info &amp; Assumptions'!B62</f>
        <v>0.05</v>
      </c>
      <c r="T14" s="786"/>
      <c r="V14" s="679" t="str">
        <f>'Building Info &amp; Assumptions'!A89&amp;" for 2024-2029"</f>
        <v>Electricity Emissions Factor for 2024-2029</v>
      </c>
      <c r="W14" s="680">
        <f>'Building Info &amp; Assumptions'!B89</f>
        <v>8.4690000000000004E-5</v>
      </c>
      <c r="X14" s="681" t="str">
        <f>'Building Info &amp; Assumptions'!C89</f>
        <v>metric tons CO2eq/kBtu</v>
      </c>
      <c r="Z14" s="745" t="str">
        <f>IF(ISBLANK('Narrative &amp; Measures'!A38),"",'Narrative &amp; Measures'!A38)</f>
        <v>Improved pumping controls for CHW, CW, and HHW</v>
      </c>
    </row>
    <row r="15" spans="1:26" ht="15" customHeight="1">
      <c r="B15" s="804"/>
      <c r="C15" s="802"/>
      <c r="D15" s="802"/>
      <c r="E15" s="802"/>
      <c r="F15" s="802"/>
      <c r="G15" s="802"/>
      <c r="H15" s="802"/>
      <c r="I15" s="802"/>
      <c r="J15" s="802"/>
      <c r="K15" s="802"/>
      <c r="L15" s="802"/>
      <c r="M15" s="802"/>
      <c r="N15" s="802"/>
      <c r="O15" s="802"/>
      <c r="P15" s="807"/>
      <c r="R15" s="442" t="str">
        <f>'Building Info &amp; Assumptions'!A63</f>
        <v>Discount Rate</v>
      </c>
      <c r="S15" s="452">
        <f>'Building Info &amp; Assumptions'!B63</f>
        <v>0.05</v>
      </c>
      <c r="T15" s="449"/>
      <c r="V15" s="442" t="str">
        <f>'Building Info &amp; Assumptions'!A90&amp;" for 2024-2029"</f>
        <v>Natural Gas Emissions Factor for 2024-2029</v>
      </c>
      <c r="W15" s="674">
        <f>'Building Info &amp; Assumptions'!B90</f>
        <v>5.3109999999999998E-5</v>
      </c>
      <c r="X15" s="675" t="str">
        <f>'Building Info &amp; Assumptions'!C90</f>
        <v>metric tons CO2eq/kBtu</v>
      </c>
      <c r="Z15" s="745" t="str">
        <f>IF(ISBLANK('Narrative &amp; Measures'!A39),"",'Narrative &amp; Measures'!A39)</f>
        <v>Annual RCx/ tuneup program for tenant AHUs and VAV-RH boxes</v>
      </c>
    </row>
    <row r="16" spans="1:26" ht="15" customHeight="1" thickBot="1">
      <c r="B16" s="805"/>
      <c r="C16" s="753" t="s">
        <v>41</v>
      </c>
      <c r="D16" s="753" t="s">
        <v>42</v>
      </c>
      <c r="E16" s="753" t="s">
        <v>43</v>
      </c>
      <c r="F16" s="753" t="s">
        <v>44</v>
      </c>
      <c r="G16" s="753" t="s">
        <v>44</v>
      </c>
      <c r="H16" s="754" t="s">
        <v>44</v>
      </c>
      <c r="I16" s="754" t="s">
        <v>44</v>
      </c>
      <c r="J16" s="753" t="s">
        <v>41</v>
      </c>
      <c r="K16" s="753" t="s">
        <v>42</v>
      </c>
      <c r="L16" s="753" t="s">
        <v>43</v>
      </c>
      <c r="M16" s="753" t="s">
        <v>44</v>
      </c>
      <c r="N16" s="753" t="s">
        <v>44</v>
      </c>
      <c r="O16" s="754" t="s">
        <v>44</v>
      </c>
      <c r="P16" s="755" t="s">
        <v>44</v>
      </c>
      <c r="R16" s="442" t="str">
        <f>'Building Info &amp; Assumptions'!A77</f>
        <v>General Costs Escalation Rate</v>
      </c>
      <c r="S16" s="452">
        <f>'Building Info &amp; Assumptions'!B77</f>
        <v>3.5000000000000003E-2</v>
      </c>
      <c r="T16" s="449"/>
      <c r="V16" s="442" t="str">
        <f>'Building Info &amp; Assumptions'!A91&amp;" for 2024-2029"</f>
        <v>Purchased Steam Emissions Factor for 2024-2029</v>
      </c>
      <c r="W16" s="674">
        <f>'Building Info &amp; Assumptions'!B91</f>
        <v>4.4929999999999998E-5</v>
      </c>
      <c r="X16" s="675" t="str">
        <f>'Building Info &amp; Assumptions'!C91</f>
        <v>metric tons CO2eq/kBtu</v>
      </c>
      <c r="Z16" s="745" t="str">
        <f>IF(ISBLANK('Narrative &amp; Measures'!A40),"",'Narrative &amp; Measures'!A40)</f>
        <v/>
      </c>
    </row>
    <row r="17" spans="2:26" ht="15" customHeight="1">
      <c r="B17" s="758" t="str">
        <f>B6</f>
        <v>Baseline - Reactive Fines</v>
      </c>
      <c r="C17" s="772">
        <f ca="1">(SUMIF(Alternatives!$I$15:$I$25,"&lt;="&amp;2,Alternatives!$F$15:$F$25)+Alternatives!F27)/(MAX('Operating Statements'!C392:D392)+MAX('Operating Statements'!C399:D399))</f>
        <v>6595.4707796270814</v>
      </c>
      <c r="D17" s="769">
        <f ca="1">MAX('Operating Statements'!C392:D392)+MAX('Operating Statements'!C399:D399)</f>
        <v>1114.4011164000003</v>
      </c>
      <c r="E17" s="769">
        <f ca="1">(('Operating Statements'!B331*kBTUperTherm+'Operating Statements'!B339*kBTUperlbsSteam+'Operating Statements'!B363*kBTUperUnit_Util6)-(MIN('Operating Statements'!C331:D331)*kBTUperTherm+MIN('Operating Statements'!C339:D339)*kBTUperlbsSteam+MIN('Operating Statements'!C363:D363)*kBTUperUnit_Util6))/1000</f>
        <v>2173.08</v>
      </c>
      <c r="F17" s="766">
        <f ca="1">1-MIN('Operating Statements'!C372:D372)/'Operating Statements'!B372</f>
        <v>1.1487441145022426E-2</v>
      </c>
      <c r="G17" s="452">
        <f ca="1">1-('Operating Statements'!D323)/'Operating Statements'!B323</f>
        <v>6.0000000000000053E-3</v>
      </c>
      <c r="H17" s="452">
        <f ca="1">1-MIN('Operating Statements'!C384:D384)/'Operating Statements'!B384</f>
        <v>5.817333941147651E-2</v>
      </c>
      <c r="I17" s="452">
        <f ca="1">1-(MIN('Operating Statements'!C331:D331)*kBTUperTherm+MIN('Operating Statements'!C339:D339)*kBTUperlbsSteam+MIN('Operating Statements'!C363:D363)*kBTUperUnit_Util6)/('Operating Statements'!B331*kBTUperTherm+'Operating Statements'!B339*kBTUperlbsSteam+'Operating Statements'!B363*kBTUperUnit_Util6)</f>
        <v>2.0000000000000018E-2</v>
      </c>
      <c r="J17" s="756">
        <f ca="1">E6/(MAX('Operating Statements'!C392:V392)+MAX('Operating Statements'!C399:V399))</f>
        <v>1116.7258093018543</v>
      </c>
      <c r="K17" s="757">
        <f ca="1">MAX('Operating Statements'!C392:V392)+MAX('Operating Statements'!C399:V399)</f>
        <v>14372.373116399996</v>
      </c>
      <c r="L17" s="757">
        <f ca="1">(('Operating Statements'!B331*kBTUperTherm+'Operating Statements'!B339*kBTUperlbsSteam+'Operating Statements'!B363*kBTUperUnit_Util6)-(MIN('Operating Statements'!C331:V331)*kBTUperTherm+MIN('Operating Statements'!C339:V339)*kBTUperlbsSteam+MIN('Operating Statements'!C363:V363)*kBTUperUnit_Util6))/1000</f>
        <v>2173.08</v>
      </c>
      <c r="M17" s="766">
        <f ca="1">1-MIN('Operating Statements'!C372:V372)/'Operating Statements'!B372</f>
        <v>2.0000000000000129E-2</v>
      </c>
      <c r="N17" s="452">
        <f ca="1">1-'Operating Statements'!V323/'Operating Statements'!B323</f>
        <v>2.0000000000000018E-2</v>
      </c>
      <c r="O17" s="766">
        <f ca="1">1-MIN('Operating Statements'!C384:V384)/'Operating Statements'!B384</f>
        <v>0.75025852643583901</v>
      </c>
      <c r="P17" s="767">
        <f ca="1">1-(MIN('Operating Statements'!C331:V331)*kBTUperTherm+MIN('Operating Statements'!C339:V339)*kBTUperlbsSteam+MIN('Operating Statements'!C363:V363)*kBTUperUnit_Util6)/('Operating Statements'!B331*kBTUperTherm+'Operating Statements'!B339*kBTUperlbsSteam+'Operating Statements'!B363*kBTUperUnit_Util6)</f>
        <v>2.0000000000000018E-2</v>
      </c>
      <c r="R17" s="442" t="str">
        <f>'Building Info &amp; Assumptions'!A78</f>
        <v>Electricity Cost Escalation Rate</v>
      </c>
      <c r="S17" s="452">
        <f>'Building Info &amp; Assumptions'!B78</f>
        <v>0.01</v>
      </c>
      <c r="T17" s="449"/>
      <c r="V17" s="442" t="str">
        <f>'Building Info &amp; Assumptions'!A92&amp;" for 2024-2029"</f>
        <v>Purchased Chilled Water Emissions Factor for 2024-2029</v>
      </c>
      <c r="W17" s="674">
        <f>'Building Info &amp; Assumptions'!B92</f>
        <v>0</v>
      </c>
      <c r="X17" s="675" t="str">
        <f>'Building Info &amp; Assumptions'!C92</f>
        <v>metric tons CO2eq/kBtu</v>
      </c>
      <c r="Z17" s="745" t="str">
        <f>IF(ISBLANK('Narrative &amp; Measures'!A41),"",'Narrative &amp; Measures'!A41)</f>
        <v/>
      </c>
    </row>
    <row r="18" spans="2:26" ht="15" customHeight="1">
      <c r="B18" s="758" t="str">
        <f>B7</f>
        <v>Baseline - Offset Based Compliance</v>
      </c>
      <c r="C18" s="771">
        <f ca="1">(SUMIF(Alternatives!$I$15:$I$25,"&lt;="&amp;2,Alternatives!$F$15:$F$25)+Alternatives!F32)/(MAX('Operating Statements'!C393:D393)+MAX('Operating Statements'!C400:D400))</f>
        <v>6595.4707796270814</v>
      </c>
      <c r="D18" s="757">
        <f ca="1">MAX('Operating Statements'!C393:D393)+MAX('Operating Statements'!C400:D400)</f>
        <v>1114.4011164000003</v>
      </c>
      <c r="E18" s="757">
        <f ca="1">(('Operating Statements'!B332*kBTUperTherm+'Operating Statements'!B340*kBTUperlbsSteam+'Operating Statements'!B364*kBTUperUnit_Util6)-(MIN('Operating Statements'!C332:D332)*kBTUperTherm+MIN('Operating Statements'!C340:D340)*kBTUperlbsSteam+MIN('Operating Statements'!C364:D364)*kBTUperUnit_Util6))/1000</f>
        <v>2173.08</v>
      </c>
      <c r="F18" s="452">
        <f ca="1">1-MIN('Operating Statements'!C373:D373)/'Operating Statements'!B373</f>
        <v>1.1487441145022426E-2</v>
      </c>
      <c r="G18" s="452">
        <f ca="1">1-('Operating Statements'!D324)/'Operating Statements'!B324</f>
        <v>6.0000000000000053E-3</v>
      </c>
      <c r="H18" s="452">
        <f ca="1">1-MIN('Operating Statements'!C385:D385)/'Operating Statements'!B385</f>
        <v>5.817333941147651E-2</v>
      </c>
      <c r="I18" s="452">
        <f ca="1">1-(MIN('Operating Statements'!C332:D332)*kBTUperTherm+MIN('Operating Statements'!C340:D340)*kBTUperlbsSteam+MIN('Operating Statements'!C364:D364)*kBTUperUnit_Util6)/('Operating Statements'!B332*kBTUperTherm+'Operating Statements'!B340*kBTUperlbsSteam+'Operating Statements'!B364*kBTUperUnit_Util6)</f>
        <v>2.0000000000000018E-2</v>
      </c>
      <c r="J18" s="756">
        <f ca="1">E7/(MAX('Operating Statements'!C393:V393)+MAX('Operating Statements'!C400:V400))</f>
        <v>1116.7258093018543</v>
      </c>
      <c r="K18" s="757">
        <f ca="1">MAX('Operating Statements'!C393:V393)+MAX('Operating Statements'!C400:V400)</f>
        <v>14372.373116399996</v>
      </c>
      <c r="L18" s="757">
        <f ca="1">(('Operating Statements'!B332*kBTUperTherm+'Operating Statements'!B340*kBTUperlbsSteam+'Operating Statements'!B364*kBTUperUnit_Util6)-(MIN('Operating Statements'!C332:V332)*kBTUperTherm+MIN('Operating Statements'!C340:V340)*kBTUperlbsSteam+MIN('Operating Statements'!C364:V364)*kBTUperUnit_Util6))/1000</f>
        <v>2173.08</v>
      </c>
      <c r="M18" s="452">
        <f ca="1">1-MIN('Operating Statements'!C373:V373)/'Operating Statements'!B373</f>
        <v>2.0000000000000129E-2</v>
      </c>
      <c r="N18" s="452">
        <f ca="1">1-'Operating Statements'!V324/'Operating Statements'!B324</f>
        <v>2.0000000000000018E-2</v>
      </c>
      <c r="O18" s="452">
        <f ca="1">1-MIN('Operating Statements'!C385:V385)/'Operating Statements'!B385</f>
        <v>0.75025852643583901</v>
      </c>
      <c r="P18" s="767">
        <f ca="1">1-(MIN('Operating Statements'!C332:V332)*kBTUperTherm+MIN('Operating Statements'!C340:V340)*kBTUperlbsSteam+MIN('Operating Statements'!C364:V364)*kBTUperUnit_Util6)/('Operating Statements'!B332*kBTUperTherm+'Operating Statements'!B340*kBTUperlbsSteam+'Operating Statements'!B364*kBTUperUnit_Util6)</f>
        <v>2.0000000000000018E-2</v>
      </c>
      <c r="R18" s="442" t="str">
        <f>'Building Info &amp; Assumptions'!A79</f>
        <v>Natural Gas Cost Escalation Rate</v>
      </c>
      <c r="S18" s="452">
        <f>'Building Info &amp; Assumptions'!B79</f>
        <v>0.02</v>
      </c>
      <c r="T18" s="449"/>
      <c r="V18" s="442" t="str">
        <f>'Building Info &amp; Assumptions'!A117</f>
        <v>Applicant Building Emissions Limit 2024-2029</v>
      </c>
      <c r="W18" s="678">
        <f>'Building Info &amp; Assumptions'!B117</f>
        <v>13451</v>
      </c>
      <c r="X18" s="675" t="str">
        <f>'Building Info &amp; Assumptions'!C117</f>
        <v>tons CO2eq</v>
      </c>
      <c r="Z18" s="745" t="str">
        <f>IF(ISBLANK('Narrative &amp; Measures'!A42),"",'Narrative &amp; Measures'!A42)</f>
        <v/>
      </c>
    </row>
    <row r="19" spans="2:26" ht="15" customHeight="1">
      <c r="B19" s="758" t="str">
        <f>B8</f>
        <v>Alternative 1</v>
      </c>
      <c r="C19" s="771">
        <f>SUMIF(Alternatives!$I$38:$I$58,"&lt;="&amp;2,Alternatives!$F$38:$F$58)/(MAX('Operating Statements'!C394:D394)+MAX('Operating Statements'!C401:D401))</f>
        <v>1795.6713093601506</v>
      </c>
      <c r="D19" s="757">
        <f>MAX('Operating Statements'!C394:D394)+MAX('Operating Statements'!C401:D401)</f>
        <v>1225.1685419999963</v>
      </c>
      <c r="E19" s="757">
        <f>(('Operating Statements'!B333*kBTUperTherm+'Operating Statements'!B341*kBTUperlbsSteam+'Operating Statements'!B365*kBTUperUnit_Util6)-(MIN('Operating Statements'!C333:D333)*kBTUperTherm+MIN('Operating Statements'!C341:D341)*kBTUperlbsSteam+MIN('Operating Statements'!C365:D365)*kBTUperUnit_Util6))/1000</f>
        <v>7761</v>
      </c>
      <c r="F19" s="452">
        <f>1-MIN('Operating Statements'!C374:D374)/'Operating Statements'!B374</f>
        <v>2.4304598588490656E-2</v>
      </c>
      <c r="G19" s="452">
        <f>1-('Operating Statements'!D325)/'Operating Statements'!B325</f>
        <v>-6.0728744939271273E-3</v>
      </c>
      <c r="H19" s="452">
        <f ca="1">1-MIN('Operating Statements'!C386:D386)/'Operating Statements'!B386</f>
        <v>5.817333941147651E-2</v>
      </c>
      <c r="I19" s="452">
        <f>1-(MIN('Operating Statements'!C333:D333)*kBTUperTherm+MIN('Operating Statements'!C341:D341)*kBTUperlbsSteam+MIN('Operating Statements'!C365:D365)*kBTUperUnit_Util6)/('Operating Statements'!B333*kBTUperTherm+'Operating Statements'!B341*kBTUperlbsSteam+'Operating Statements'!B365*kBTUperUnit_Util6)</f>
        <v>7.1428571428571397E-2</v>
      </c>
      <c r="J19" s="756">
        <f>E8/(MAX('Operating Statements'!C394:V394)+MAX('Operating Statements'!C401:V401))</f>
        <v>1924.9136320297359</v>
      </c>
      <c r="K19" s="757">
        <f>MAX('Operating Statements'!C394:V394)+MAX('Operating Statements'!C401:V401)</f>
        <v>17611.179762</v>
      </c>
      <c r="L19" s="757">
        <f>(('Operating Statements'!B333*kBTUperTherm+'Operating Statements'!B341*kBTUperlbsSteam+'Operating Statements'!B365*kBTUperUnit_Util6)-(MIN('Operating Statements'!C333:V333)*kBTUperTherm+MIN('Operating Statements'!C341:V341)*kBTUperlbsSteam+MIN('Operating Statements'!C365:V365)*kBTUperUnit_Util6))/1000</f>
        <v>77013</v>
      </c>
      <c r="M19" s="452">
        <f>1-MIN('Operating Statements'!C374:V374)/'Operating Statements'!B374</f>
        <v>0.24212320909876672</v>
      </c>
      <c r="N19" s="452">
        <f>1-'Operating Statements'!V325/'Operating Statements'!B325</f>
        <v>-5.2631578947368363E-2</v>
      </c>
      <c r="O19" s="452">
        <f ca="1">1-MIN('Operating Statements'!C386:V386)/'Operating Statements'!B386</f>
        <v>0.75025852643583901</v>
      </c>
      <c r="P19" s="767">
        <f>1-(MIN('Operating Statements'!C333:V333)*kBTUperTherm+MIN('Operating Statements'!C341:V341)*kBTUperlbsSteam+MIN('Operating Statements'!C365:V365)*kBTUperUnit_Util6)/('Operating Statements'!B333*kBTUperTherm+'Operating Statements'!B341*kBTUperlbsSteam+'Operating Statements'!B365*kBTUperUnit_Util6)</f>
        <v>0.70879120879120872</v>
      </c>
      <c r="R19" s="442" t="str">
        <f>'Building Info &amp; Assumptions'!A80</f>
        <v>Purchased Steam Cost Escalation Rate</v>
      </c>
      <c r="S19" s="452">
        <f>'Building Info &amp; Assumptions'!B80</f>
        <v>0.02</v>
      </c>
      <c r="T19" s="449"/>
      <c r="V19" s="442" t="str">
        <f>'Building Info &amp; Assumptions'!F117</f>
        <v>Applicant Building Emissions Limit 2030-2035</v>
      </c>
      <c r="W19" s="678">
        <f>'Building Info &amp; Assumptions'!G117</f>
        <v>6855</v>
      </c>
      <c r="X19" s="675" t="str">
        <f>'Building Info &amp; Assumptions'!H117</f>
        <v>tons CO2eq</v>
      </c>
      <c r="Z19" s="745" t="str">
        <f>IF(ISBLANK('Narrative &amp; Measures'!A43),"",'Narrative &amp; Measures'!A43)</f>
        <v/>
      </c>
    </row>
    <row r="20" spans="2:26" ht="15" customHeight="1">
      <c r="B20" s="758" t="str">
        <f>B9</f>
        <v>Alternative 2</v>
      </c>
      <c r="C20" s="771">
        <f>SUMIF(Alternatives!$I$63:$I$83,"&lt;="&amp;2,Alternatives!$F$63:$F$83)/(MAX('Operating Statements'!C395:D395)+MAX('Operating Statements'!C402:D402))</f>
        <v>1795.6713093601506</v>
      </c>
      <c r="D20" s="757">
        <f>MAX('Operating Statements'!C395:D395)+MAX('Operating Statements'!C402:D402)</f>
        <v>1225.1685419999963</v>
      </c>
      <c r="E20" s="757">
        <f>(('Operating Statements'!B334*kBTUperTherm+'Operating Statements'!B342*kBTUperlbsSteam+'Operating Statements'!B366*kBTUperUnit_Util6)-(MIN('Operating Statements'!C334:D334)*kBTUperTherm+MIN('Operating Statements'!C342:D342)*kBTUperlbsSteam+MIN('Operating Statements'!C366:D366)*kBTUperUnit_Util6))/1000</f>
        <v>7761</v>
      </c>
      <c r="F20" s="452">
        <f>1-MIN('Operating Statements'!C375:D375)/'Operating Statements'!B375</f>
        <v>2.4304598588490656E-2</v>
      </c>
      <c r="G20" s="452">
        <f>1-('Operating Statements'!D326)/'Operating Statements'!B326</f>
        <v>-6.0728744939271273E-3</v>
      </c>
      <c r="H20" s="452">
        <f>1-MIN('Operating Statements'!C387:D387)/'Operating Statements'!B387</f>
        <v>6.2873412994391975E-2</v>
      </c>
      <c r="I20" s="452">
        <f>1-(MIN('Operating Statements'!C334:D334)*kBTUperTherm+MIN('Operating Statements'!C342:D342)*kBTUperlbsSteam+MIN('Operating Statements'!C366:D366)*kBTUperUnit_Util6)/('Operating Statements'!B334*kBTUperTherm+'Operating Statements'!B342*kBTUperlbsSteam+'Operating Statements'!B366*kBTUperUnit_Util6)</f>
        <v>7.1428571428571397E-2</v>
      </c>
      <c r="J20" s="756">
        <f>E9/(MAX('Operating Statements'!C395:V395)+MAX('Operating Statements'!C402:V402))</f>
        <v>530.47499071671939</v>
      </c>
      <c r="K20" s="757">
        <f>MAX('Operating Statements'!C395:V395)+MAX('Operating Statements'!C402:V402)</f>
        <v>17342.947661999999</v>
      </c>
      <c r="L20" s="757">
        <f>(('Operating Statements'!B334*kBTUperTherm+'Operating Statements'!B342*kBTUperlbsSteam+'Operating Statements'!B366*kBTUperUnit_Util6)-(MIN('Operating Statements'!C334:V334)*kBTUperTherm+MIN('Operating Statements'!C342:V342)*kBTUperlbsSteam+MIN('Operating Statements'!C366:V366)*kBTUperUnit_Util6))/1000</f>
        <v>71043</v>
      </c>
      <c r="M20" s="452">
        <f>1-MIN('Operating Statements'!C375:V375)/'Operating Statements'!B375</f>
        <v>8.5193436813238432E-2</v>
      </c>
      <c r="N20" s="452">
        <f>1-'Operating Statements'!V326/'Operating Statements'!B326</f>
        <v>-0.27530364372469629</v>
      </c>
      <c r="O20" s="452">
        <f>1-MIN('Operating Statements'!C387:V387)/'Operating Statements'!B387</f>
        <v>0.90758613335257554</v>
      </c>
      <c r="P20" s="767">
        <f>1-(MIN('Operating Statements'!C334:V334)*kBTUperTherm+MIN('Operating Statements'!C342:V342)*kBTUperlbsSteam+MIN('Operating Statements'!C366:V366)*kBTUperUnit_Util6)/('Operating Statements'!B334*kBTUperTherm+'Operating Statements'!B342*kBTUperlbsSteam+'Operating Statements'!B366*kBTUperUnit_Util6)</f>
        <v>0.65384615384615385</v>
      </c>
      <c r="R20" s="442" t="str">
        <f>'Building Info &amp; Assumptions'!A81</f>
        <v>Purchased Chilled Water Cost Escalation Rate</v>
      </c>
      <c r="S20" s="452">
        <f>'Building Info &amp; Assumptions'!B81</f>
        <v>0.01</v>
      </c>
      <c r="T20" s="449"/>
      <c r="V20" s="442" t="str">
        <f>'Building Info &amp; Assumptions'!A99</f>
        <v>LL97 Noncompliance Fine for 2024-2029</v>
      </c>
      <c r="W20" s="684">
        <f>'Building Info &amp; Assumptions'!B99</f>
        <v>268</v>
      </c>
      <c r="X20" s="449" t="s">
        <v>45</v>
      </c>
      <c r="Z20" s="745" t="str">
        <f>IF(ISBLANK('Narrative &amp; Measures'!A44),"",'Narrative &amp; Measures'!A44)</f>
        <v/>
      </c>
    </row>
    <row r="21" spans="2:26" ht="15" customHeight="1" thickBot="1">
      <c r="B21" s="759" t="str">
        <f>B10</f>
        <v>Alternative 3</v>
      </c>
      <c r="C21" s="773">
        <f>SUMIF(Alternatives!$I$88:$I$108,"&lt;="&amp;2,Alternatives!$F$88:$F$108)/(MAX('Operating Statements'!C396:D396)+MAX('Operating Statements'!C403:D403))</f>
        <v>994.44712262313897</v>
      </c>
      <c r="D21" s="761">
        <f>MAX('Operating Statements'!C396:D396)+MAX('Operating Statements'!C403:D403)</f>
        <v>502.79194199999984</v>
      </c>
      <c r="E21" s="761">
        <f>(('Operating Statements'!B335*kBTUperTherm+'Operating Statements'!B343*kBTUperlbsSteam+'Operating Statements'!B367*kBTUperUnit_Util6)-(MIN('Operating Statements'!C335:D335)*kBTUperTherm+MIN('Operating Statements'!C343:D343)*kBTUperlbsSteam+MIN('Operating Statements'!C367:D367)*kBTUperUnit_Util6))/1000</f>
        <v>6567</v>
      </c>
      <c r="F21" s="765">
        <f>1-MIN('Operating Statements'!C376:D376)/'Operating Statements'!B376</f>
        <v>5.8461769336106695E-3</v>
      </c>
      <c r="G21" s="765">
        <f>1-('Operating Statements'!D327)/'Operating Statements'!B327</f>
        <v>-5.4655870445344146E-2</v>
      </c>
      <c r="H21" s="765">
        <f>1-MIN('Operating Statements'!C388:D388)/'Operating Statements'!B388</f>
        <v>6.2873412994391975E-2</v>
      </c>
      <c r="I21" s="765">
        <f>1-(MIN('Operating Statements'!C335:D335)*kBTUperTherm+MIN('Operating Statements'!C343:D343)*kBTUperlbsSteam+MIN('Operating Statements'!C367:D367)*kBTUperUnit_Util6)/('Operating Statements'!B335*kBTUperTherm+'Operating Statements'!B343*kBTUperlbsSteam+'Operating Statements'!B367*kBTUperUnit_Util6)</f>
        <v>6.0439560439560447E-2</v>
      </c>
      <c r="J21" s="760">
        <f>E10/(MAX('Operating Statements'!C396:V396)+MAX('Operating Statements'!C403:V403))</f>
        <v>438.13537572875032</v>
      </c>
      <c r="K21" s="761">
        <f>MAX('Operating Statements'!C396:V396)+MAX('Operating Statements'!C403:V403)</f>
        <v>17117.996891999999</v>
      </c>
      <c r="L21" s="761">
        <f>(('Operating Statements'!B335*kBTUperTherm+'Operating Statements'!B343*kBTUperlbsSteam+'Operating Statements'!B367*kBTUperUnit_Util6)-(MIN('Operating Statements'!C335:V335)*kBTUperTherm+MIN('Operating Statements'!C343:V343)*kBTUperlbsSteam+MIN('Operating Statements'!C367:V367)*kBTUperUnit_Util6))/1000</f>
        <v>69849</v>
      </c>
      <c r="M21" s="765">
        <f>1-MIN('Operating Statements'!C376:V376)/'Operating Statements'!B376</f>
        <v>6.0888838224747777E-2</v>
      </c>
      <c r="N21" s="765">
        <f>1-'Operating Statements'!V327/'Operating Statements'!B327</f>
        <v>-0.27530364372469629</v>
      </c>
      <c r="O21" s="765">
        <f>1-MIN('Operating Statements'!C388:V388)/'Operating Statements'!B388</f>
        <v>0.89358403234538997</v>
      </c>
      <c r="P21" s="768">
        <f>1-(MIN('Operating Statements'!C335:V335)*kBTUperTherm+MIN('Operating Statements'!C343:V343)*kBTUperlbsSteam+MIN('Operating Statements'!C367:V367)*kBTUperUnit_Util6)/('Operating Statements'!B335*kBTUperTherm+'Operating Statements'!B343*kBTUperlbsSteam+'Operating Statements'!B367*kBTUperUnit_Util6)</f>
        <v>0.64285714285714279</v>
      </c>
      <c r="R21" s="442" t="str">
        <f>'Building Info &amp; Assumptions'!A82</f>
        <v>Purchased Hot Water Cost Escalation Rate</v>
      </c>
      <c r="S21" s="452">
        <f>'Building Info &amp; Assumptions'!B82</f>
        <v>0.01</v>
      </c>
      <c r="T21" s="449"/>
      <c r="V21" s="442" t="str">
        <f>'Building Info &amp; Assumptions'!A119</f>
        <v>Cost of Carbon Offsets</v>
      </c>
      <c r="W21" s="673">
        <f>'Building Info &amp; Assumptions'!B119</f>
        <v>25</v>
      </c>
      <c r="X21" s="447" t="str">
        <f>'Building Info &amp; Assumptions'!C119</f>
        <v>$/ton CO2eq</v>
      </c>
      <c r="Z21" s="745" t="str">
        <f>IF(ISBLANK('Narrative &amp; Measures'!A45),"",'Narrative &amp; Measures'!A45)</f>
        <v/>
      </c>
    </row>
    <row r="22" spans="2:26" ht="15" customHeight="1" thickBot="1">
      <c r="R22" s="442" t="str">
        <f>'Building Info &amp; Assumptions'!A83</f>
        <v>Fuel Oil Cost Escalation Rate</v>
      </c>
      <c r="S22" s="452">
        <f>'Building Info &amp; Assumptions'!B83</f>
        <v>0.01</v>
      </c>
      <c r="T22" s="430"/>
      <c r="V22" s="443" t="str">
        <f>'Building Info &amp; Assumptions'!A120</f>
        <v>Offsets Cost Escalation (Annual)</v>
      </c>
      <c r="W22" s="683">
        <f>'Building Info &amp; Assumptions'!B120</f>
        <v>0.02</v>
      </c>
      <c r="X22" s="682" t="s">
        <v>44</v>
      </c>
      <c r="Z22" s="745" t="str">
        <f>IF(ISBLANK('Narrative &amp; Measures'!A46),"",'Narrative &amp; Measures'!A46)</f>
        <v/>
      </c>
    </row>
    <row r="23" spans="2:26" ht="15" customHeight="1">
      <c r="R23" s="442" t="str">
        <f>'Building Info &amp; Assumptions'!A64</f>
        <v>Rentable to Gross SF</v>
      </c>
      <c r="S23" s="688">
        <f>'Building Info &amp; Assumptions'!B64</f>
        <v>0.8</v>
      </c>
      <c r="T23" s="449"/>
      <c r="Z23" s="745" t="str">
        <f>IF(ISBLANK('Narrative &amp; Measures'!A47),"",'Narrative &amp; Measures'!A47)</f>
        <v/>
      </c>
    </row>
    <row r="24" spans="2:26" ht="15" customHeight="1">
      <c r="R24" s="442" t="str">
        <f>'Building Info &amp; Assumptions'!A65</f>
        <v>Avg SF/office tenant</v>
      </c>
      <c r="S24" s="689">
        <f>'Building Info &amp; Assumptions'!B65</f>
        <v>11390</v>
      </c>
      <c r="T24" s="449" t="s">
        <v>46</v>
      </c>
      <c r="Z24" s="745" t="str">
        <f>IF(ISBLANK('Narrative &amp; Measures'!A48),"",'Narrative &amp; Measures'!A48)</f>
        <v/>
      </c>
    </row>
    <row r="25" spans="2:26" ht="15" customHeight="1">
      <c r="R25" s="442" t="str">
        <f>'Building Info &amp; Assumptions'!A66</f>
        <v>Avg sf per office worker</v>
      </c>
      <c r="S25" s="689">
        <f>'Building Info &amp; Assumptions'!B66</f>
        <v>360</v>
      </c>
      <c r="T25" s="449" t="s">
        <v>46</v>
      </c>
      <c r="V25" s="459"/>
      <c r="W25" s="46"/>
      <c r="X25" s="46"/>
      <c r="Y25" s="46"/>
      <c r="Z25" s="745" t="str">
        <f>IF(ISBLANK('Narrative &amp; Measures'!A49),"",'Narrative &amp; Measures'!A49)</f>
        <v/>
      </c>
    </row>
    <row r="26" spans="2:26" ht="15" customHeight="1">
      <c r="R26" s="442" t="str">
        <f>'Building Info &amp; Assumptions'!A67</f>
        <v>Avg SF per maint worker</v>
      </c>
      <c r="S26" s="689">
        <f>'Building Info &amp; Assumptions'!B67</f>
        <v>125000</v>
      </c>
      <c r="T26" s="449" t="s">
        <v>46</v>
      </c>
      <c r="V26" s="435"/>
      <c r="W26" s="677"/>
      <c r="X26" s="685"/>
      <c r="Y26" s="46"/>
      <c r="Z26" s="745" t="str">
        <f>IF(ISBLANK('Narrative &amp; Measures'!A50),"",'Narrative &amp; Measures'!A50)</f>
        <v/>
      </c>
    </row>
    <row r="27" spans="2:26" ht="15" customHeight="1">
      <c r="R27" s="442" t="str">
        <f>'Building Info &amp; Assumptions'!A68</f>
        <v>Annual Vacancy rate</v>
      </c>
      <c r="S27" s="452">
        <f>'Building Info &amp; Assumptions'!B68</f>
        <v>0.04</v>
      </c>
      <c r="T27" s="449"/>
      <c r="V27" s="435"/>
      <c r="W27" s="451"/>
      <c r="X27" s="685"/>
      <c r="Y27" s="46"/>
      <c r="Z27" s="745" t="str">
        <f>IF(ISBLANK('Narrative &amp; Measures'!A51),"",'Narrative &amp; Measures'!A51)</f>
        <v/>
      </c>
    </row>
    <row r="28" spans="2:26" ht="15" customHeight="1">
      <c r="R28" s="442" t="str">
        <f>'Building Info &amp; Assumptions'!A69</f>
        <v>Avg annual rent per SF</v>
      </c>
      <c r="S28" s="687">
        <f>'Building Info &amp; Assumptions'!B69</f>
        <v>90.375486111111115</v>
      </c>
      <c r="T28" s="449" t="s">
        <v>47</v>
      </c>
      <c r="V28" s="435"/>
      <c r="W28" s="676"/>
      <c r="X28" s="685"/>
      <c r="Y28" s="46"/>
      <c r="Z28" s="745" t="str">
        <f>IF(ISBLANK('Narrative &amp; Measures'!A52),"",'Narrative &amp; Measures'!A52)</f>
        <v/>
      </c>
    </row>
    <row r="29" spans="2:26">
      <c r="R29" s="442" t="str">
        <f>'Building Info &amp; Assumptions'!A70</f>
        <v>Cleaning</v>
      </c>
      <c r="S29" s="687">
        <f>'Building Info &amp; Assumptions'!B70</f>
        <v>4.3250000000000002</v>
      </c>
      <c r="T29" s="449" t="s">
        <v>47</v>
      </c>
      <c r="V29" s="435"/>
      <c r="W29" s="451"/>
      <c r="X29" s="685"/>
      <c r="Y29" s="46"/>
      <c r="Z29" s="745" t="str">
        <f>IF(ISBLANK('Narrative &amp; Measures'!A53),"",'Narrative &amp; Measures'!A53)</f>
        <v/>
      </c>
    </row>
    <row r="30" spans="2:26">
      <c r="R30" s="442" t="str">
        <f>'Building Info &amp; Assumptions'!A71</f>
        <v>Repair / Maintenance</v>
      </c>
      <c r="S30" s="687">
        <f>'Building Info &amp; Assumptions'!B71</f>
        <v>4.4000000000000004</v>
      </c>
      <c r="T30" s="449" t="s">
        <v>47</v>
      </c>
      <c r="V30" s="435"/>
      <c r="W30" s="678"/>
      <c r="X30" s="685"/>
      <c r="Y30" s="46"/>
      <c r="Z30" s="745" t="str">
        <f>IF(ISBLANK('Narrative &amp; Measures'!A54),"",'Narrative &amp; Measures'!A54)</f>
        <v/>
      </c>
    </row>
    <row r="31" spans="2:26">
      <c r="R31" s="442" t="str">
        <f>'Building Info &amp; Assumptions'!A72</f>
        <v>Utility</v>
      </c>
      <c r="S31" s="687">
        <f>'Building Info &amp; Assumptions'!B72</f>
        <v>4.1749999999999998</v>
      </c>
      <c r="T31" s="449" t="s">
        <v>47</v>
      </c>
      <c r="V31" s="46"/>
      <c r="W31" s="46"/>
      <c r="X31" s="46"/>
      <c r="Y31" s="46"/>
      <c r="Z31" s="745" t="str">
        <f>IF(ISBLANK('Narrative &amp; Measures'!A55),"",'Narrative &amp; Measures'!A55)</f>
        <v/>
      </c>
    </row>
    <row r="32" spans="2:26">
      <c r="R32" s="442" t="str">
        <f>'Building Info &amp; Assumptions'!A73</f>
        <v>Security</v>
      </c>
      <c r="S32" s="687">
        <f>'Building Info &amp; Assumptions'!B73</f>
        <v>1.4249999999999998</v>
      </c>
      <c r="T32" s="449" t="s">
        <v>47</v>
      </c>
      <c r="Y32" s="46"/>
      <c r="Z32" s="745" t="str">
        <f>IF(ISBLANK('Narrative &amp; Measures'!A56),"",'Narrative &amp; Measures'!A56)</f>
        <v/>
      </c>
    </row>
    <row r="33" spans="18:26">
      <c r="R33" s="442" t="str">
        <f>'Building Info &amp; Assumptions'!A74</f>
        <v>Administrative</v>
      </c>
      <c r="S33" s="687">
        <f>'Building Info &amp; Assumptions'!B74</f>
        <v>1.8125</v>
      </c>
      <c r="T33" s="449" t="s">
        <v>47</v>
      </c>
      <c r="Z33" s="745" t="str">
        <f>IF(ISBLANK('Narrative &amp; Measures'!A57),"",'Narrative &amp; Measures'!A57)</f>
        <v/>
      </c>
    </row>
    <row r="34" spans="18:26">
      <c r="R34" s="442" t="str">
        <f>'Building Info &amp; Assumptions'!A75</f>
        <v>Fixed</v>
      </c>
      <c r="S34" s="687">
        <f>'Building Info &amp; Assumptions'!B75</f>
        <v>18.725000000000001</v>
      </c>
      <c r="T34" s="449" t="s">
        <v>47</v>
      </c>
      <c r="Z34" s="745" t="str">
        <f>IF(ISBLANK('Narrative &amp; Measures'!A58),"",'Narrative &amp; Measures'!A58)</f>
        <v/>
      </c>
    </row>
    <row r="35" spans="18:26" ht="15.95" thickBot="1">
      <c r="R35" s="443" t="str">
        <f>'Building Info &amp; Assumptions'!A76</f>
        <v>Parking</v>
      </c>
      <c r="S35" s="690">
        <f>'Building Info &amp; Assumptions'!B76</f>
        <v>0.72499999999999998</v>
      </c>
      <c r="T35" s="450" t="s">
        <v>47</v>
      </c>
      <c r="Z35" s="745" t="str">
        <f>IF(ISBLANK('Narrative &amp; Measures'!A59),"",'Narrative &amp; Measures'!A59)</f>
        <v/>
      </c>
    </row>
    <row r="36" spans="18:26">
      <c r="Z36" s="745" t="str">
        <f>IF(ISBLANK('Narrative &amp; Measures'!A60),"",'Narrative &amp; Measures'!A60)</f>
        <v/>
      </c>
    </row>
    <row r="37" spans="18:26">
      <c r="Z37" s="745" t="str">
        <f>IF(ISBLANK('Narrative &amp; Measures'!A61),"",'Narrative &amp; Measures'!A61)</f>
        <v/>
      </c>
    </row>
    <row r="38" spans="18:26">
      <c r="Z38" s="745" t="str">
        <f>IF(ISBLANK('Narrative &amp; Measures'!A62),"",'Narrative &amp; Measures'!A62)</f>
        <v/>
      </c>
    </row>
    <row r="39" spans="18:26">
      <c r="Z39" s="745" t="str">
        <f>IF(ISBLANK('Narrative &amp; Measures'!A63),"",'Narrative &amp; Measures'!A63)</f>
        <v/>
      </c>
    </row>
    <row r="40" spans="18:26">
      <c r="Z40" s="745" t="str">
        <f>IF(ISBLANK('Narrative &amp; Measures'!A64),"",'Narrative &amp; Measures'!A64)</f>
        <v/>
      </c>
    </row>
    <row r="41" spans="18:26">
      <c r="Z41" s="745" t="str">
        <f>IF(ISBLANK('Narrative &amp; Measures'!A65),"",'Narrative &amp; Measures'!A65)</f>
        <v/>
      </c>
    </row>
    <row r="42" spans="18:26">
      <c r="Z42" s="745" t="str">
        <f>IF(ISBLANK('Narrative &amp; Measures'!A66),"",'Narrative &amp; Measures'!A66)</f>
        <v/>
      </c>
    </row>
    <row r="43" spans="18:26" ht="15.95" thickBot="1">
      <c r="Z43" s="746" t="str">
        <f>IF(ISBLANK('Narrative &amp; Measures'!A67),"",'Narrative &amp; Measures'!A67)</f>
        <v/>
      </c>
    </row>
  </sheetData>
  <mergeCells count="23">
    <mergeCell ref="N13:N15"/>
    <mergeCell ref="P13:P15"/>
    <mergeCell ref="O13:O15"/>
    <mergeCell ref="E3:E4"/>
    <mergeCell ref="F3:F4"/>
    <mergeCell ref="G3:G4"/>
    <mergeCell ref="I3:I5"/>
    <mergeCell ref="J13:J15"/>
    <mergeCell ref="G13:G15"/>
    <mergeCell ref="H13:H15"/>
    <mergeCell ref="I13:I15"/>
    <mergeCell ref="E13:E15"/>
    <mergeCell ref="F13:F15"/>
    <mergeCell ref="K13:K15"/>
    <mergeCell ref="L13:L15"/>
    <mergeCell ref="M13:M15"/>
    <mergeCell ref="H3:H4"/>
    <mergeCell ref="B3:B5"/>
    <mergeCell ref="C3:C4"/>
    <mergeCell ref="D3:D4"/>
    <mergeCell ref="B13:B16"/>
    <mergeCell ref="C13:C15"/>
    <mergeCell ref="D13:D15"/>
  </mergeCells>
  <phoneticPr fontId="69"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C000"/>
  </sheetPr>
  <dimension ref="A1:DR66"/>
  <sheetViews>
    <sheetView zoomScale="85" zoomScaleNormal="85" workbookViewId="0">
      <selection activeCell="O12" sqref="O12"/>
    </sheetView>
  </sheetViews>
  <sheetFormatPr defaultColWidth="8.85546875" defaultRowHeight="15"/>
  <cols>
    <col min="1" max="1" width="8.85546875" style="45"/>
    <col min="2" max="2" width="3.7109375" style="45" customWidth="1"/>
    <col min="3" max="3" width="24.28515625" style="45" customWidth="1"/>
    <col min="4" max="11" width="8.85546875" style="45"/>
    <col min="12" max="12" width="22.42578125" style="45" customWidth="1"/>
    <col min="13" max="13" width="4.7109375" style="45" customWidth="1"/>
    <col min="14" max="14" width="9.7109375" style="45" customWidth="1"/>
    <col min="15" max="15" width="27.85546875" style="45" customWidth="1"/>
    <col min="16" max="16" width="8.85546875" style="45"/>
    <col min="17" max="17" width="8.7109375" style="45" customWidth="1"/>
    <col min="18" max="18" width="2.42578125" style="45" customWidth="1"/>
    <col min="19" max="19" width="4.28515625" style="45" customWidth="1"/>
    <col min="20" max="20" width="8.85546875" style="45"/>
    <col min="21" max="21" width="14" style="45" customWidth="1"/>
    <col min="22" max="22" width="8.42578125" style="45" customWidth="1"/>
    <col min="23" max="24" width="8.85546875" style="45"/>
    <col min="25" max="25" width="43.85546875" style="45" customWidth="1"/>
    <col min="26" max="26" width="2.42578125" style="45" customWidth="1"/>
    <col min="27" max="27" width="4.7109375" style="45" customWidth="1"/>
    <col min="28" max="34" width="8.85546875" style="45"/>
    <col min="35" max="122" width="9.140625" style="45"/>
  </cols>
  <sheetData>
    <row r="1" spans="2:27" s="45" customFormat="1"/>
    <row r="2" spans="2:27" s="45" customFormat="1" ht="26.1">
      <c r="B2" s="536" t="s">
        <v>48</v>
      </c>
      <c r="P2" s="593"/>
    </row>
    <row r="3" spans="2:27" s="45" customFormat="1">
      <c r="B3" s="45" t="s">
        <v>49</v>
      </c>
    </row>
    <row r="4" spans="2:27" s="45" customFormat="1" ht="15.95" thickBot="1"/>
    <row r="5" spans="2:27" s="45" customFormat="1" ht="20.100000000000001" customHeight="1">
      <c r="M5" s="546"/>
      <c r="N5" s="556"/>
      <c r="O5" s="556" t="s">
        <v>50</v>
      </c>
      <c r="P5" s="547"/>
      <c r="Q5" s="547"/>
      <c r="R5" s="547"/>
      <c r="S5" s="547"/>
      <c r="T5" s="547"/>
      <c r="U5" s="547"/>
      <c r="V5" s="547"/>
      <c r="W5" s="547"/>
      <c r="X5" s="547"/>
      <c r="Y5" s="547"/>
      <c r="Z5" s="547"/>
      <c r="AA5" s="548"/>
    </row>
    <row r="6" spans="2:27" s="45" customFormat="1" ht="14.45" customHeight="1">
      <c r="M6" s="549"/>
      <c r="N6" s="594" t="s">
        <v>51</v>
      </c>
      <c r="O6" s="554" t="s">
        <v>52</v>
      </c>
      <c r="P6" s="592" t="s">
        <v>53</v>
      </c>
      <c r="Q6" s="543"/>
      <c r="R6" s="543"/>
      <c r="S6" s="543"/>
      <c r="T6" s="543"/>
      <c r="U6" s="543"/>
      <c r="V6" s="543"/>
      <c r="W6" s="543"/>
      <c r="X6" s="543"/>
      <c r="Y6" s="543"/>
      <c r="Z6" s="543"/>
      <c r="AA6" s="551"/>
    </row>
    <row r="7" spans="2:27" s="45" customFormat="1" ht="14.45" customHeight="1">
      <c r="M7" s="549"/>
      <c r="N7" s="594" t="s">
        <v>54</v>
      </c>
      <c r="O7" s="554" t="s">
        <v>55</v>
      </c>
      <c r="P7" s="543" t="s">
        <v>56</v>
      </c>
      <c r="Q7" s="543"/>
      <c r="R7" s="543"/>
      <c r="S7" s="543"/>
      <c r="T7" s="543"/>
      <c r="U7" s="543"/>
      <c r="V7" s="543"/>
      <c r="W7" s="543"/>
      <c r="X7" s="543"/>
      <c r="Y7" s="543"/>
      <c r="Z7" s="543"/>
      <c r="AA7" s="551"/>
    </row>
    <row r="8" spans="2:27" s="45" customFormat="1" ht="14.45" customHeight="1">
      <c r="M8" s="549"/>
      <c r="N8" s="594" t="s">
        <v>57</v>
      </c>
      <c r="O8" s="554" t="s">
        <v>58</v>
      </c>
      <c r="P8" s="543" t="s">
        <v>59</v>
      </c>
      <c r="Q8" s="543"/>
      <c r="R8" s="543"/>
      <c r="S8" s="543"/>
      <c r="T8" s="543"/>
      <c r="U8" s="543"/>
      <c r="V8" s="543"/>
      <c r="W8" s="543"/>
      <c r="X8" s="543"/>
      <c r="Y8" s="543"/>
      <c r="Z8" s="543"/>
      <c r="AA8" s="551"/>
    </row>
    <row r="9" spans="2:27" s="45" customFormat="1" ht="14.45" customHeight="1">
      <c r="M9" s="549"/>
      <c r="N9" s="594" t="s">
        <v>60</v>
      </c>
      <c r="O9" s="554" t="s">
        <v>61</v>
      </c>
      <c r="P9" s="543" t="s">
        <v>62</v>
      </c>
      <c r="Q9" s="543"/>
      <c r="R9" s="543"/>
      <c r="S9" s="543"/>
      <c r="T9" s="543"/>
      <c r="U9" s="543"/>
      <c r="V9" s="543"/>
      <c r="W9" s="543"/>
      <c r="X9" s="543"/>
      <c r="Y9" s="543"/>
      <c r="Z9" s="543"/>
      <c r="AA9" s="551"/>
    </row>
    <row r="10" spans="2:27" s="45" customFormat="1" ht="14.45" hidden="1" customHeight="1">
      <c r="M10" s="549"/>
      <c r="N10" s="550"/>
      <c r="O10" s="555" t="s">
        <v>63</v>
      </c>
      <c r="P10" s="545" t="s">
        <v>64</v>
      </c>
      <c r="Q10" s="545"/>
      <c r="R10" s="545"/>
      <c r="S10" s="545"/>
      <c r="T10" s="545"/>
      <c r="U10" s="545"/>
      <c r="V10" s="545"/>
      <c r="W10" s="545"/>
      <c r="X10" s="545"/>
      <c r="Y10" s="545"/>
      <c r="Z10" s="545"/>
      <c r="AA10" s="551"/>
    </row>
    <row r="11" spans="2:27" s="45" customFormat="1" ht="14.45" hidden="1" customHeight="1">
      <c r="M11" s="549"/>
      <c r="N11" s="550"/>
      <c r="O11" s="555" t="s">
        <v>65</v>
      </c>
      <c r="P11" s="545" t="s">
        <v>66</v>
      </c>
      <c r="Q11" s="545"/>
      <c r="R11" s="545"/>
      <c r="S11" s="545"/>
      <c r="T11" s="545"/>
      <c r="U11" s="545"/>
      <c r="V11" s="545"/>
      <c r="W11" s="545"/>
      <c r="X11" s="545"/>
      <c r="Y11" s="545"/>
      <c r="Z11" s="545"/>
      <c r="AA11" s="551"/>
    </row>
    <row r="12" spans="2:27" s="45" customFormat="1" ht="14.45" customHeight="1" thickBot="1">
      <c r="M12" s="549"/>
      <c r="N12" s="550"/>
      <c r="O12" s="558"/>
      <c r="P12" s="558"/>
      <c r="Q12" s="558"/>
      <c r="R12" s="558"/>
      <c r="S12" s="558"/>
      <c r="T12" s="558"/>
      <c r="U12" s="558"/>
      <c r="V12" s="558"/>
      <c r="W12" s="558"/>
      <c r="X12" s="558"/>
      <c r="Y12" s="560" t="s">
        <v>67</v>
      </c>
      <c r="Z12" s="558"/>
      <c r="AA12" s="551"/>
    </row>
    <row r="13" spans="2:27" s="45" customFormat="1" ht="14.45" customHeight="1">
      <c r="M13" s="549"/>
      <c r="N13" s="550"/>
      <c r="O13" s="558"/>
      <c r="P13" s="558"/>
      <c r="Q13" s="558"/>
      <c r="R13" s="558"/>
      <c r="S13" s="558"/>
      <c r="T13" s="558"/>
      <c r="U13" s="558"/>
      <c r="V13" s="558"/>
      <c r="W13" s="558"/>
      <c r="X13" s="558"/>
      <c r="Y13" s="559" t="s">
        <v>68</v>
      </c>
      <c r="Z13" s="558"/>
      <c r="AA13" s="551"/>
    </row>
    <row r="14" spans="2:27" s="45" customFormat="1" ht="14.45" customHeight="1">
      <c r="M14" s="549"/>
      <c r="N14" s="550"/>
      <c r="O14" s="558"/>
      <c r="P14" s="558"/>
      <c r="Q14" s="558"/>
      <c r="R14" s="558"/>
      <c r="S14" s="558"/>
      <c r="T14" s="558"/>
      <c r="U14" s="558"/>
      <c r="V14" s="558"/>
      <c r="W14" s="558"/>
      <c r="X14" s="558"/>
      <c r="Y14" s="925" t="s">
        <v>69</v>
      </c>
      <c r="Z14" s="558"/>
      <c r="AA14" s="551"/>
    </row>
    <row r="15" spans="2:27" s="45" customFormat="1" ht="14.45" customHeight="1">
      <c r="M15" s="549"/>
      <c r="N15" s="550"/>
      <c r="O15" s="558"/>
      <c r="P15" s="558"/>
      <c r="Q15" s="558"/>
      <c r="R15" s="558"/>
      <c r="S15" s="558"/>
      <c r="T15" s="558"/>
      <c r="U15" s="558"/>
      <c r="V15" s="558"/>
      <c r="W15" s="558"/>
      <c r="X15" s="558"/>
      <c r="Y15" s="926" t="s">
        <v>70</v>
      </c>
      <c r="Z15" s="558"/>
      <c r="AA15" s="551"/>
    </row>
    <row r="16" spans="2:27" s="45" customFormat="1" ht="14.45" customHeight="1" thickBot="1">
      <c r="M16" s="549"/>
      <c r="N16" s="550"/>
      <c r="O16" s="550"/>
      <c r="P16" s="550"/>
      <c r="Q16" s="550"/>
      <c r="R16" s="550"/>
      <c r="S16" s="550"/>
      <c r="T16" s="550"/>
      <c r="U16" s="550"/>
      <c r="V16" s="550"/>
      <c r="W16" s="550"/>
      <c r="X16" s="550"/>
      <c r="Y16" s="266" t="s">
        <v>71</v>
      </c>
      <c r="Z16" s="550"/>
      <c r="AA16" s="551"/>
    </row>
    <row r="17" spans="5:27" s="544" customFormat="1" ht="20.100000000000001" customHeight="1" thickBot="1">
      <c r="M17" s="552"/>
      <c r="N17" s="553"/>
      <c r="O17" s="553" t="s">
        <v>72</v>
      </c>
      <c r="P17" s="553"/>
      <c r="Q17" s="553"/>
      <c r="R17" s="553"/>
      <c r="S17" s="553"/>
      <c r="T17" s="553"/>
      <c r="U17" s="553"/>
      <c r="V17" s="553"/>
      <c r="W17" s="553"/>
      <c r="X17" s="553"/>
      <c r="Y17" s="553"/>
      <c r="Z17" s="553"/>
      <c r="AA17" s="557"/>
    </row>
    <row r="18" spans="5:27" s="45" customFormat="1" ht="26.1">
      <c r="M18" s="536"/>
      <c r="N18" s="536"/>
    </row>
    <row r="19" spans="5:27" s="45" customFormat="1"/>
    <row r="20" spans="5:27" s="45" customFormat="1"/>
    <row r="21" spans="5:27" s="45" customFormat="1" ht="20.45" customHeight="1"/>
    <row r="22" spans="5:27" s="45" customFormat="1"/>
    <row r="23" spans="5:27" s="45" customFormat="1">
      <c r="E23" s="445"/>
    </row>
    <row r="24" spans="5:27" s="45" customFormat="1"/>
    <row r="26" spans="5:27" s="45" customFormat="1"/>
    <row r="27" spans="5:27" s="45" customFormat="1"/>
    <row r="28" spans="5:27" s="45" customFormat="1"/>
    <row r="29" spans="5:27" s="45" customFormat="1"/>
    <row r="30" spans="5:27" s="45" customFormat="1"/>
    <row r="31" spans="5:27" s="45" customFormat="1"/>
    <row r="32" spans="5:27" s="45" customFormat="1"/>
    <row r="33" s="45" customFormat="1"/>
    <row r="34" s="45" customFormat="1"/>
    <row r="35" s="45" customFormat="1"/>
    <row r="36" s="45" customFormat="1"/>
    <row r="37" s="45" customFormat="1"/>
    <row r="38" s="45" customFormat="1"/>
    <row r="39" s="45" customFormat="1"/>
    <row r="40" s="45" customFormat="1"/>
    <row r="41" s="45" customFormat="1"/>
    <row r="42" s="45" customFormat="1"/>
    <row r="43" s="45" customFormat="1"/>
    <row r="44" s="45" customFormat="1"/>
    <row r="45" s="45" customFormat="1"/>
    <row r="46" s="45" customFormat="1"/>
    <row r="47" s="45" customFormat="1"/>
    <row r="48" s="45" customFormat="1"/>
    <row r="49" s="45" customFormat="1"/>
    <row r="50" s="45" customFormat="1"/>
    <row r="51" s="45" customFormat="1"/>
    <row r="52" s="45" customFormat="1"/>
    <row r="53" s="45" customFormat="1"/>
    <row r="54" s="45" customFormat="1"/>
    <row r="55" s="45" customFormat="1"/>
    <row r="56" s="45" customFormat="1"/>
    <row r="57" s="45" customFormat="1"/>
    <row r="58" s="45" customFormat="1"/>
    <row r="59" s="45" customFormat="1"/>
    <row r="60" s="45" customFormat="1"/>
    <row r="61" s="45" customFormat="1"/>
    <row r="62" s="45" customFormat="1"/>
    <row r="63" s="45" customFormat="1"/>
    <row r="64" s="45" customFormat="1"/>
    <row r="65" s="45" customFormat="1"/>
    <row r="66" s="45" customFormat="1"/>
  </sheetData>
  <hyperlinks>
    <hyperlink ref="O6" location="'Building Info &amp; Assumptions'!A1" display="Building Info &amp; Assumptions" xr:uid="{D9081656-DD8E-48A6-A1BB-BF22ABDBA012}"/>
    <hyperlink ref="O7" location="'Equipment Inventory'!A1" display="Equipment Inventory" xr:uid="{E574FB12-D3A4-4BA7-ACDC-2FF3DD908DB7}"/>
    <hyperlink ref="O8" location="'Narrative &amp; Measures'!A1" display="Narrative &amp; Measures" xr:uid="{FC196F71-3D70-4328-9371-EB5DB7341D9F}"/>
    <hyperlink ref="O9" location="Scenarios!A1" display="Scenarios" xr:uid="{DAC1745D-C613-4468-8D9C-98F618663BE4}"/>
    <hyperlink ref="O10" location="'Summary (PrintMe)'!A1" display="Summary" xr:uid="{62C3D7F5-2105-4B3D-9B3F-517C62723EEA}"/>
    <hyperlink ref="O11" location="'End Use Breakdown'!A1" display="End Use Breakdown" xr:uid="{2FCD5297-11F1-4B84-97F4-043D7E222B0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sheetPr>
  <dimension ref="A1:BG458"/>
  <sheetViews>
    <sheetView showGridLines="0" topLeftCell="A144" zoomScale="85" zoomScaleNormal="85" workbookViewId="0">
      <selection activeCell="G195" sqref="G195"/>
    </sheetView>
  </sheetViews>
  <sheetFormatPr defaultColWidth="8.85546875" defaultRowHeight="15" outlineLevelRow="3"/>
  <cols>
    <col min="1" max="1" width="51.85546875" customWidth="1"/>
    <col min="2" max="2" width="24" customWidth="1"/>
    <col min="3" max="3" width="22.140625" customWidth="1"/>
    <col min="4" max="4" width="25.7109375" customWidth="1"/>
    <col min="5" max="5" width="21.42578125" customWidth="1"/>
    <col min="6" max="8" width="17.7109375" customWidth="1"/>
    <col min="9" max="9" width="14.42578125" customWidth="1"/>
    <col min="10" max="10" width="16.7109375" customWidth="1"/>
    <col min="11" max="11" width="13.42578125" customWidth="1"/>
    <col min="12" max="12" width="15.42578125" customWidth="1"/>
    <col min="13" max="13" width="13.42578125" customWidth="1"/>
    <col min="14" max="14" width="17.28515625" bestFit="1" customWidth="1"/>
    <col min="15" max="16" width="13.42578125" customWidth="1"/>
    <col min="17" max="17" width="22.28515625" customWidth="1"/>
    <col min="18" max="21" width="13.42578125" customWidth="1"/>
  </cols>
  <sheetData>
    <row r="1" spans="1:22" ht="38.450000000000003" customHeight="1" thickBot="1">
      <c r="A1" s="853" t="s">
        <v>73</v>
      </c>
      <c r="B1" s="853"/>
      <c r="C1" s="853"/>
      <c r="D1" s="853"/>
      <c r="E1" s="853"/>
      <c r="F1" s="854"/>
      <c r="G1" s="850"/>
      <c r="H1" s="850"/>
      <c r="I1" s="850"/>
      <c r="J1" s="850"/>
      <c r="K1" s="850"/>
      <c r="L1" s="850"/>
      <c r="M1" s="106"/>
      <c r="N1" s="106"/>
      <c r="O1" s="106"/>
      <c r="P1" s="106"/>
      <c r="Q1" s="106"/>
      <c r="R1" s="106"/>
      <c r="S1" s="106"/>
      <c r="T1" s="106"/>
      <c r="U1" s="106"/>
      <c r="V1" s="106"/>
    </row>
    <row r="2" spans="1:22" s="106" customFormat="1" ht="28.5" customHeight="1"/>
    <row r="3" spans="1:22" s="106" customFormat="1" ht="18.95">
      <c r="A3" s="800" t="s">
        <v>74</v>
      </c>
      <c r="B3" s="800"/>
      <c r="C3" s="33"/>
      <c r="D3" s="33"/>
      <c r="E3" s="33"/>
      <c r="F3" s="33"/>
      <c r="G3" s="33"/>
      <c r="H3" s="33"/>
      <c r="I3" s="33"/>
      <c r="J3" s="33"/>
      <c r="K3" s="33"/>
      <c r="L3" s="33"/>
      <c r="M3" s="33"/>
      <c r="N3" s="33"/>
      <c r="O3" s="33"/>
      <c r="P3" s="33"/>
      <c r="Q3" s="33"/>
    </row>
    <row r="4" spans="1:22" s="103" customFormat="1" ht="15.95" hidden="1" outlineLevel="1" thickBot="1">
      <c r="A4" s="446"/>
      <c r="B4" s="446"/>
      <c r="C4" s="446"/>
      <c r="D4" s="446"/>
      <c r="E4" s="446"/>
      <c r="F4" s="446"/>
    </row>
    <row r="5" spans="1:22" hidden="1" outlineLevel="1">
      <c r="A5" s="26" t="s">
        <v>75</v>
      </c>
      <c r="B5" s="839" t="s">
        <v>76</v>
      </c>
      <c r="C5" s="839"/>
      <c r="D5" s="839"/>
      <c r="E5" s="839"/>
      <c r="F5" s="262"/>
      <c r="G5" s="841" t="s">
        <v>77</v>
      </c>
      <c r="H5" s="842"/>
      <c r="I5" s="843"/>
      <c r="J5" s="106"/>
      <c r="K5" s="106"/>
      <c r="L5" s="106"/>
      <c r="M5" s="106"/>
      <c r="N5" s="106"/>
      <c r="O5" s="106"/>
      <c r="P5" s="106"/>
      <c r="Q5" s="106"/>
      <c r="R5" s="106"/>
      <c r="S5" s="106"/>
      <c r="T5" s="106"/>
      <c r="U5" s="106"/>
      <c r="V5" s="106"/>
    </row>
    <row r="6" spans="1:22" hidden="1" outlineLevel="1">
      <c r="A6" s="26" t="s">
        <v>78</v>
      </c>
      <c r="B6" s="839" t="s">
        <v>79</v>
      </c>
      <c r="C6" s="839"/>
      <c r="D6" s="839"/>
      <c r="E6" s="839"/>
      <c r="F6" s="263"/>
      <c r="G6" s="844" t="s">
        <v>80</v>
      </c>
      <c r="H6" s="845"/>
      <c r="I6" s="846"/>
      <c r="J6" s="106"/>
      <c r="K6" s="106"/>
      <c r="L6" s="106"/>
      <c r="M6" s="106"/>
      <c r="N6" s="106"/>
      <c r="O6" s="106"/>
      <c r="P6" s="106"/>
      <c r="Q6" s="106"/>
      <c r="R6" s="106"/>
      <c r="S6" s="106"/>
      <c r="T6" s="106"/>
      <c r="U6" s="106"/>
      <c r="V6" s="106"/>
    </row>
    <row r="7" spans="1:22" hidden="1" outlineLevel="1">
      <c r="A7" s="26" t="s">
        <v>81</v>
      </c>
      <c r="B7" s="839" t="s">
        <v>79</v>
      </c>
      <c r="C7" s="839"/>
      <c r="D7" s="839"/>
      <c r="E7" s="839"/>
      <c r="F7" s="264"/>
      <c r="G7" s="847" t="s">
        <v>69</v>
      </c>
      <c r="H7" s="848"/>
      <c r="I7" s="849"/>
      <c r="J7" s="106"/>
      <c r="K7" s="106"/>
      <c r="L7" s="106"/>
      <c r="M7" s="106"/>
      <c r="N7" s="106"/>
      <c r="O7" s="111"/>
      <c r="P7" s="106"/>
      <c r="Q7" s="106"/>
      <c r="R7" s="106"/>
      <c r="S7" s="106"/>
      <c r="T7" s="106"/>
      <c r="U7" s="106"/>
      <c r="V7" s="106"/>
    </row>
    <row r="8" spans="1:22" hidden="1" outlineLevel="1">
      <c r="A8" s="32" t="s">
        <v>82</v>
      </c>
      <c r="B8" s="839" t="s">
        <v>79</v>
      </c>
      <c r="C8" s="839"/>
      <c r="D8" s="839"/>
      <c r="E8" s="839"/>
      <c r="F8" s="265"/>
      <c r="G8" s="823" t="s">
        <v>70</v>
      </c>
      <c r="H8" s="824"/>
      <c r="I8" s="825"/>
      <c r="J8" s="106"/>
      <c r="K8" s="106"/>
      <c r="L8" s="106"/>
      <c r="M8" s="106"/>
      <c r="N8" s="106"/>
      <c r="O8" s="106"/>
      <c r="P8" s="106"/>
      <c r="Q8" s="106"/>
      <c r="R8" s="106"/>
      <c r="S8" s="106"/>
      <c r="T8" s="106"/>
      <c r="U8" s="106"/>
      <c r="V8" s="106"/>
    </row>
    <row r="9" spans="1:22" ht="15.95" hidden="1" outlineLevel="1" thickBot="1">
      <c r="A9" s="32" t="s">
        <v>83</v>
      </c>
      <c r="B9" s="839" t="s">
        <v>84</v>
      </c>
      <c r="C9" s="839"/>
      <c r="D9" s="839"/>
      <c r="E9" s="839"/>
      <c r="F9" s="265"/>
      <c r="G9" s="826" t="s">
        <v>71</v>
      </c>
      <c r="H9" s="827"/>
      <c r="I9" s="828"/>
      <c r="J9" s="106"/>
      <c r="K9" s="106"/>
      <c r="L9" s="106"/>
      <c r="M9" s="106"/>
      <c r="N9" s="106"/>
      <c r="O9" s="106"/>
      <c r="P9" s="106"/>
      <c r="Q9" s="106"/>
      <c r="R9" s="106"/>
      <c r="S9" s="106"/>
      <c r="T9" s="106"/>
      <c r="U9" s="106"/>
      <c r="V9" s="106"/>
    </row>
    <row r="10" spans="1:22" hidden="1" outlineLevel="1">
      <c r="A10" s="32" t="s">
        <v>85</v>
      </c>
      <c r="B10" s="840" t="s">
        <v>86</v>
      </c>
      <c r="C10" s="840"/>
      <c r="D10" s="840"/>
      <c r="E10" s="840"/>
      <c r="F10" s="43"/>
      <c r="G10" s="106"/>
      <c r="H10" s="106"/>
      <c r="I10" s="106"/>
      <c r="J10" s="106"/>
      <c r="K10" s="106"/>
      <c r="L10" s="106"/>
      <c r="M10" s="106"/>
      <c r="N10" s="106"/>
      <c r="O10" s="106"/>
      <c r="P10" s="106"/>
      <c r="Q10" s="106"/>
      <c r="R10" s="106"/>
      <c r="S10" s="106"/>
      <c r="T10" s="106"/>
      <c r="U10" s="106"/>
      <c r="V10" s="106"/>
    </row>
    <row r="11" spans="1:22" hidden="1" outlineLevel="1">
      <c r="A11" s="32" t="s">
        <v>87</v>
      </c>
      <c r="B11" s="838">
        <v>10005</v>
      </c>
      <c r="C11" s="838"/>
      <c r="D11" s="838"/>
      <c r="E11" s="838"/>
      <c r="F11" s="43"/>
      <c r="G11" s="106"/>
      <c r="H11" s="106"/>
      <c r="I11" s="106"/>
      <c r="J11" s="106"/>
      <c r="K11" s="106"/>
      <c r="L11" s="106"/>
      <c r="M11" s="106"/>
      <c r="N11" s="106"/>
      <c r="O11" s="106"/>
      <c r="P11" s="106"/>
      <c r="Q11" s="106"/>
      <c r="R11" s="106"/>
      <c r="S11" s="106"/>
      <c r="T11" s="106"/>
      <c r="U11" s="106"/>
      <c r="V11" s="106">
        <f>U11*(K11*'Building Info &amp; Assumptions'!C167)</f>
        <v>0</v>
      </c>
    </row>
    <row r="12" spans="1:22" hidden="1" outlineLevel="1">
      <c r="A12" s="44" t="s">
        <v>88</v>
      </c>
      <c r="B12" s="839" t="s">
        <v>79</v>
      </c>
      <c r="C12" s="839"/>
      <c r="D12" s="839"/>
      <c r="E12" s="839"/>
      <c r="F12" s="43"/>
      <c r="G12" s="106"/>
      <c r="H12" s="106"/>
      <c r="I12" s="106"/>
      <c r="J12" s="106"/>
      <c r="K12" s="111"/>
      <c r="L12" s="106"/>
      <c r="M12" s="106"/>
      <c r="N12" s="106"/>
      <c r="O12" s="106"/>
      <c r="P12" s="106"/>
      <c r="Q12" s="106"/>
      <c r="R12" s="106"/>
      <c r="S12" s="106"/>
      <c r="T12" s="106"/>
      <c r="U12" s="106"/>
      <c r="V12" s="106"/>
    </row>
    <row r="13" spans="1:22" hidden="1" outlineLevel="1">
      <c r="A13" s="44" t="s">
        <v>89</v>
      </c>
      <c r="B13" s="840" t="s">
        <v>79</v>
      </c>
      <c r="C13" s="840"/>
      <c r="D13" s="840"/>
      <c r="E13" s="840"/>
      <c r="F13" s="43"/>
      <c r="G13" s="106"/>
      <c r="H13" s="106"/>
      <c r="I13" s="106"/>
      <c r="J13" s="106"/>
      <c r="K13" s="111"/>
      <c r="L13" s="106"/>
      <c r="M13" s="106"/>
      <c r="N13" s="106"/>
      <c r="O13" s="106"/>
      <c r="P13" s="106"/>
      <c r="Q13" s="106"/>
      <c r="R13" s="106"/>
      <c r="S13" s="106"/>
      <c r="T13" s="106"/>
      <c r="U13" s="106"/>
      <c r="V13" s="106"/>
    </row>
    <row r="14" spans="1:22" hidden="1" outlineLevel="1">
      <c r="A14" s="106"/>
      <c r="B14" s="106"/>
      <c r="C14" s="106"/>
      <c r="D14" s="106"/>
      <c r="E14" s="106"/>
      <c r="F14" s="106"/>
      <c r="G14" s="106"/>
      <c r="H14" s="106"/>
      <c r="I14" s="106"/>
      <c r="J14" s="106"/>
      <c r="K14" s="183"/>
      <c r="L14" s="106"/>
      <c r="M14" s="106"/>
      <c r="N14" s="106"/>
      <c r="O14" s="106"/>
      <c r="P14" s="106"/>
      <c r="Q14" s="106"/>
      <c r="R14" s="106"/>
      <c r="S14" s="106"/>
      <c r="T14" s="106"/>
      <c r="U14" s="106"/>
      <c r="V14" s="106"/>
    </row>
    <row r="15" spans="1:22" hidden="1" outlineLevel="1">
      <c r="A15" s="26" t="s">
        <v>90</v>
      </c>
      <c r="B15" s="40">
        <v>1600000</v>
      </c>
      <c r="C15" s="46" t="s">
        <v>91</v>
      </c>
      <c r="D15" s="96"/>
      <c r="E15" s="106"/>
      <c r="F15" s="106"/>
      <c r="G15" s="106"/>
      <c r="H15" s="106"/>
      <c r="I15" s="106"/>
      <c r="J15" s="106"/>
      <c r="K15" s="111"/>
      <c r="L15" s="106"/>
      <c r="M15" s="106"/>
      <c r="N15" s="106"/>
      <c r="O15" s="106"/>
      <c r="P15" s="106"/>
      <c r="Q15" s="106"/>
      <c r="R15" s="106"/>
      <c r="S15" s="106"/>
      <c r="T15" s="106"/>
      <c r="U15" s="106"/>
      <c r="V15" s="106"/>
    </row>
    <row r="16" spans="1:22" hidden="1" outlineLevel="1">
      <c r="A16" s="26" t="s">
        <v>92</v>
      </c>
      <c r="B16" s="91">
        <v>1500000</v>
      </c>
      <c r="C16" s="46" t="s">
        <v>91</v>
      </c>
      <c r="D16" s="114"/>
      <c r="E16" s="106"/>
      <c r="F16" s="106"/>
      <c r="G16" s="106"/>
      <c r="H16" s="106"/>
      <c r="I16" s="106"/>
      <c r="J16" s="106"/>
      <c r="K16" s="106"/>
      <c r="L16" s="106"/>
      <c r="M16" s="106"/>
      <c r="N16" s="106"/>
      <c r="O16" s="106"/>
      <c r="P16" s="106"/>
      <c r="Q16" s="106"/>
      <c r="R16" s="106"/>
      <c r="S16" s="106"/>
      <c r="T16" s="106"/>
      <c r="U16" s="106"/>
      <c r="V16" s="106"/>
    </row>
    <row r="17" spans="1:13" hidden="1" outlineLevel="1">
      <c r="A17" s="26" t="s">
        <v>93</v>
      </c>
      <c r="B17" s="91">
        <v>1500000</v>
      </c>
      <c r="C17" s="46" t="s">
        <v>91</v>
      </c>
      <c r="D17" s="46"/>
      <c r="E17" s="106"/>
      <c r="F17" s="106"/>
      <c r="G17" s="106"/>
      <c r="H17" s="106"/>
      <c r="I17" s="106"/>
      <c r="J17" s="106"/>
      <c r="K17" s="106"/>
      <c r="L17" s="106"/>
      <c r="M17" s="106"/>
    </row>
    <row r="18" spans="1:13" hidden="1" outlineLevel="1">
      <c r="A18" s="26" t="s">
        <v>94</v>
      </c>
      <c r="B18" s="91">
        <v>1500000</v>
      </c>
      <c r="C18" s="46" t="s">
        <v>91</v>
      </c>
      <c r="D18" s="46"/>
      <c r="E18" s="106"/>
      <c r="F18" s="106"/>
      <c r="G18" s="106"/>
      <c r="H18" s="106"/>
      <c r="I18" s="106"/>
      <c r="J18" s="106"/>
      <c r="K18" s="106"/>
      <c r="L18" s="106"/>
      <c r="M18" s="106"/>
    </row>
    <row r="19" spans="1:13" hidden="1" outlineLevel="1">
      <c r="A19" s="27" t="s">
        <v>95</v>
      </c>
      <c r="B19" s="36">
        <v>0</v>
      </c>
      <c r="C19" s="46"/>
      <c r="D19" s="38"/>
      <c r="E19" s="733"/>
      <c r="F19" s="106"/>
      <c r="G19" s="106"/>
      <c r="H19" s="106"/>
      <c r="I19" s="106"/>
      <c r="J19" s="106"/>
      <c r="K19" s="106"/>
      <c r="L19" s="106"/>
      <c r="M19" s="106"/>
    </row>
    <row r="20" spans="1:13" hidden="1" outlineLevel="1">
      <c r="A20" s="27" t="s">
        <v>96</v>
      </c>
      <c r="B20" s="36">
        <v>1</v>
      </c>
      <c r="C20" s="25"/>
      <c r="D20" s="46"/>
      <c r="E20" s="106"/>
      <c r="F20" s="106"/>
      <c r="G20" s="106"/>
      <c r="H20" s="106"/>
      <c r="I20" s="106"/>
      <c r="J20" s="106"/>
      <c r="K20" s="106"/>
      <c r="L20" s="106"/>
      <c r="M20" s="106"/>
    </row>
    <row r="21" spans="1:13" hidden="1" outlineLevel="1">
      <c r="A21" s="106"/>
      <c r="B21" s="106"/>
      <c r="C21" s="106"/>
      <c r="D21" s="46"/>
      <c r="E21" s="106"/>
      <c r="F21" s="106"/>
      <c r="G21" s="106"/>
      <c r="H21" s="106"/>
      <c r="I21" s="106"/>
      <c r="J21" s="106"/>
      <c r="K21" s="106"/>
      <c r="L21" s="106"/>
      <c r="M21" s="106"/>
    </row>
    <row r="22" spans="1:13" hidden="1" outlineLevel="1">
      <c r="A22" s="46"/>
      <c r="B22" s="927" t="s">
        <v>97</v>
      </c>
      <c r="C22" s="928" t="s">
        <v>98</v>
      </c>
      <c r="D22" s="929" t="s">
        <v>44</v>
      </c>
      <c r="E22" s="187"/>
      <c r="F22" s="46"/>
      <c r="G22" s="106"/>
      <c r="H22" s="106"/>
      <c r="I22" s="106"/>
      <c r="J22" s="106"/>
      <c r="K22" s="106"/>
      <c r="L22" s="106"/>
      <c r="M22" s="106"/>
    </row>
    <row r="23" spans="1:13" hidden="1" outlineLevel="1">
      <c r="A23" s="27"/>
      <c r="B23" s="930" t="s">
        <v>99</v>
      </c>
      <c r="C23" s="931">
        <v>1400000</v>
      </c>
      <c r="D23" s="932">
        <f>C23/$B$15</f>
        <v>0.875</v>
      </c>
      <c r="E23" s="567"/>
      <c r="F23" s="46"/>
      <c r="G23" s="106"/>
      <c r="H23" s="106"/>
      <c r="I23" s="106"/>
      <c r="J23" s="106"/>
      <c r="K23" s="106"/>
      <c r="L23" s="106"/>
      <c r="M23" s="106"/>
    </row>
    <row r="24" spans="1:13" hidden="1" outlineLevel="1">
      <c r="A24" s="106"/>
      <c r="B24" s="930" t="s">
        <v>100</v>
      </c>
      <c r="C24" s="931">
        <v>100000</v>
      </c>
      <c r="D24" s="932">
        <f>C24/$B$15</f>
        <v>6.25E-2</v>
      </c>
      <c r="E24" s="188"/>
      <c r="F24" s="46"/>
      <c r="G24" s="106"/>
      <c r="H24" s="106"/>
      <c r="I24" s="106"/>
      <c r="J24" s="106"/>
      <c r="K24" s="106"/>
      <c r="L24" s="106"/>
      <c r="M24" s="106"/>
    </row>
    <row r="25" spans="1:13" hidden="1" outlineLevel="1">
      <c r="A25" s="106"/>
      <c r="B25" s="930" t="s">
        <v>101</v>
      </c>
      <c r="C25" s="931">
        <v>50000</v>
      </c>
      <c r="D25" s="932">
        <f>C25/$B$15</f>
        <v>3.125E-2</v>
      </c>
      <c r="E25" s="188"/>
      <c r="F25" s="46"/>
      <c r="G25" s="106"/>
      <c r="H25" s="106"/>
      <c r="I25" s="106"/>
      <c r="J25" s="106"/>
      <c r="K25" s="106"/>
      <c r="L25" s="106"/>
      <c r="M25" s="106"/>
    </row>
    <row r="26" spans="1:13" s="106" customFormat="1" hidden="1" outlineLevel="1">
      <c r="B26" s="930" t="s">
        <v>102</v>
      </c>
      <c r="C26" s="931">
        <v>50000</v>
      </c>
      <c r="D26" s="932">
        <f t="shared" ref="D26:D29" si="0">C26/$B$15</f>
        <v>3.125E-2</v>
      </c>
      <c r="E26" s="188"/>
      <c r="F26" s="46"/>
    </row>
    <row r="27" spans="1:13" s="106" customFormat="1" hidden="1" outlineLevel="1">
      <c r="B27" s="930"/>
      <c r="C27" s="931"/>
      <c r="D27" s="932">
        <f t="shared" si="0"/>
        <v>0</v>
      </c>
      <c r="E27" s="188"/>
      <c r="F27" s="46"/>
    </row>
    <row r="28" spans="1:13" hidden="1" outlineLevel="1">
      <c r="A28" s="106"/>
      <c r="B28" s="930"/>
      <c r="C28" s="931"/>
      <c r="D28" s="932">
        <f t="shared" si="0"/>
        <v>0</v>
      </c>
      <c r="E28" s="188"/>
      <c r="F28" s="45"/>
      <c r="G28" s="106"/>
      <c r="H28" s="106"/>
      <c r="I28" s="106"/>
      <c r="J28" s="106"/>
      <c r="K28" s="106"/>
      <c r="L28" s="106"/>
      <c r="M28" s="106"/>
    </row>
    <row r="29" spans="1:13" hidden="1" outlineLevel="1">
      <c r="A29" s="106"/>
      <c r="B29" s="930"/>
      <c r="C29" s="931"/>
      <c r="D29" s="932">
        <f t="shared" si="0"/>
        <v>0</v>
      </c>
      <c r="E29" s="188"/>
      <c r="F29" s="45"/>
      <c r="G29" s="106"/>
      <c r="H29" s="106"/>
      <c r="I29" s="106"/>
      <c r="J29" s="106"/>
      <c r="K29" s="106"/>
      <c r="L29" s="106"/>
      <c r="M29" s="106"/>
    </row>
    <row r="30" spans="1:13" hidden="1" outlineLevel="1">
      <c r="A30" s="637" t="s">
        <v>103</v>
      </c>
      <c r="B30" s="933" t="s">
        <v>104</v>
      </c>
      <c r="C30" s="934">
        <f>SUM(C23:C29)</f>
        <v>1600000</v>
      </c>
      <c r="D30" s="106" t="str">
        <f>IF(C30=B15,"","&lt;-- Sums Don't Match - Check Floor Area")</f>
        <v/>
      </c>
      <c r="E30" s="636"/>
      <c r="F30" s="45"/>
      <c r="G30" s="106"/>
      <c r="H30" s="106"/>
      <c r="I30" s="106"/>
      <c r="J30" s="106"/>
      <c r="K30" s="106"/>
      <c r="L30" s="106"/>
      <c r="M30" s="106"/>
    </row>
    <row r="31" spans="1:13" hidden="1" outlineLevel="1">
      <c r="A31" s="106"/>
      <c r="B31" s="106"/>
      <c r="C31" s="45"/>
      <c r="D31" s="106"/>
      <c r="E31" s="111"/>
      <c r="F31" s="45"/>
      <c r="G31" s="106"/>
      <c r="H31" s="106"/>
      <c r="I31" s="106"/>
      <c r="J31" s="106"/>
      <c r="K31" s="106"/>
      <c r="L31" s="106"/>
      <c r="M31" s="106"/>
    </row>
    <row r="32" spans="1:13" hidden="1" outlineLevel="1">
      <c r="A32" s="106"/>
      <c r="B32" s="280" t="s">
        <v>105</v>
      </c>
      <c r="C32" s="45"/>
      <c r="D32" s="45"/>
      <c r="E32" s="45"/>
      <c r="F32" s="45"/>
      <c r="G32" s="45"/>
      <c r="H32" s="106"/>
      <c r="I32" s="106"/>
      <c r="J32" s="106"/>
      <c r="K32" s="106"/>
      <c r="L32" s="106"/>
      <c r="M32" s="106"/>
    </row>
    <row r="33" spans="1:17" hidden="1" outlineLevel="1">
      <c r="A33" s="106"/>
      <c r="B33" s="9" t="s">
        <v>106</v>
      </c>
      <c r="C33" s="935" t="s">
        <v>107</v>
      </c>
      <c r="D33" s="851" t="s">
        <v>108</v>
      </c>
      <c r="E33" s="851"/>
      <c r="F33" s="851"/>
      <c r="G33" s="9" t="s">
        <v>109</v>
      </c>
      <c r="H33" s="106"/>
      <c r="I33" s="106"/>
      <c r="J33" s="106"/>
      <c r="K33" s="106"/>
      <c r="L33" s="106"/>
      <c r="M33" s="106"/>
      <c r="N33" s="106"/>
      <c r="O33" s="106"/>
      <c r="P33" s="106"/>
      <c r="Q33" s="106"/>
    </row>
    <row r="34" spans="1:17" ht="15.95" hidden="1" outlineLevel="1">
      <c r="A34" s="106"/>
      <c r="B34" s="661" t="s">
        <v>110</v>
      </c>
      <c r="C34" s="797" t="s">
        <v>111</v>
      </c>
      <c r="D34" s="852" t="s">
        <v>112</v>
      </c>
      <c r="E34" s="852"/>
      <c r="F34" s="852"/>
      <c r="G34" s="797" t="s">
        <v>111</v>
      </c>
      <c r="H34" s="106"/>
      <c r="I34" s="106"/>
      <c r="J34" s="106"/>
      <c r="K34" s="106"/>
      <c r="L34" s="106"/>
      <c r="M34" s="106"/>
      <c r="N34" s="106"/>
      <c r="O34" s="106"/>
      <c r="P34" s="106"/>
      <c r="Q34" s="106"/>
    </row>
    <row r="35" spans="1:17" hidden="1" outlineLevel="1">
      <c r="A35" s="106"/>
      <c r="B35" s="661" t="s">
        <v>113</v>
      </c>
      <c r="C35" s="797"/>
      <c r="D35" s="852"/>
      <c r="E35" s="852"/>
      <c r="F35" s="852"/>
      <c r="G35" s="797"/>
      <c r="H35" s="106"/>
      <c r="I35" s="106"/>
      <c r="J35" s="106"/>
      <c r="K35" s="106"/>
      <c r="L35" s="106"/>
      <c r="M35" s="106"/>
      <c r="N35" s="106"/>
      <c r="O35" s="106"/>
      <c r="P35" s="106"/>
      <c r="Q35" s="106"/>
    </row>
    <row r="36" spans="1:17" hidden="1" outlineLevel="1">
      <c r="A36" s="106"/>
      <c r="B36" s="661" t="s">
        <v>114</v>
      </c>
      <c r="C36" s="797"/>
      <c r="D36" s="830"/>
      <c r="E36" s="830"/>
      <c r="F36" s="830"/>
      <c r="G36" s="797"/>
      <c r="H36" s="106"/>
      <c r="I36" s="106"/>
      <c r="J36" s="106"/>
      <c r="K36" s="106"/>
      <c r="L36" s="106"/>
      <c r="M36" s="106"/>
      <c r="N36" s="106"/>
      <c r="O36" s="106"/>
      <c r="P36" s="106"/>
      <c r="Q36" s="106"/>
    </row>
    <row r="37" spans="1:17" hidden="1" outlineLevel="1">
      <c r="A37" s="106"/>
      <c r="B37" s="661" t="s">
        <v>115</v>
      </c>
      <c r="C37" s="797"/>
      <c r="D37" s="830"/>
      <c r="E37" s="830"/>
      <c r="F37" s="830"/>
      <c r="G37" s="797"/>
      <c r="H37" s="106"/>
      <c r="I37" s="106"/>
      <c r="J37" s="106"/>
      <c r="K37" s="106"/>
      <c r="L37" s="106"/>
      <c r="M37" s="106"/>
      <c r="N37" s="106"/>
      <c r="O37" s="106"/>
      <c r="P37" s="106"/>
      <c r="Q37" s="106"/>
    </row>
    <row r="38" spans="1:17" hidden="1" outlineLevel="1">
      <c r="A38" s="106"/>
      <c r="B38" s="661" t="s">
        <v>116</v>
      </c>
      <c r="C38" s="797"/>
      <c r="D38" s="830"/>
      <c r="E38" s="830"/>
      <c r="F38" s="830"/>
      <c r="G38" s="797"/>
      <c r="H38" s="106"/>
      <c r="I38" s="106"/>
      <c r="J38" s="106"/>
      <c r="K38" s="106"/>
      <c r="L38" s="106"/>
      <c r="M38" s="106"/>
      <c r="N38" s="106"/>
      <c r="O38" s="106"/>
      <c r="P38" s="106"/>
      <c r="Q38" s="106"/>
    </row>
    <row r="39" spans="1:17" ht="15.95" hidden="1" outlineLevel="1">
      <c r="A39" s="106"/>
      <c r="B39" s="661" t="s">
        <v>117</v>
      </c>
      <c r="C39" s="797" t="s">
        <v>111</v>
      </c>
      <c r="D39" s="830" t="s">
        <v>118</v>
      </c>
      <c r="E39" s="830"/>
      <c r="F39" s="830"/>
      <c r="G39" s="797"/>
      <c r="H39" s="106"/>
      <c r="I39" s="106"/>
      <c r="J39" s="106"/>
      <c r="K39" s="106"/>
      <c r="L39" s="106"/>
      <c r="M39" s="106"/>
      <c r="N39" s="106"/>
      <c r="O39" s="106"/>
      <c r="P39" s="106"/>
      <c r="Q39" s="106"/>
    </row>
    <row r="40" spans="1:17" hidden="1" outlineLevel="1">
      <c r="A40" s="106"/>
      <c r="B40" s="661" t="s">
        <v>119</v>
      </c>
      <c r="C40" s="797"/>
      <c r="D40" s="830"/>
      <c r="E40" s="830"/>
      <c r="F40" s="830"/>
      <c r="G40" s="797"/>
      <c r="H40" s="106"/>
      <c r="I40" s="106"/>
      <c r="J40" s="106"/>
      <c r="K40" s="106"/>
      <c r="L40" s="106"/>
      <c r="M40" s="106"/>
      <c r="N40" s="106"/>
      <c r="O40" s="106"/>
      <c r="P40" s="106"/>
      <c r="Q40" s="106"/>
    </row>
    <row r="41" spans="1:17" hidden="1" outlineLevel="1">
      <c r="A41" s="106"/>
      <c r="B41" s="661" t="s">
        <v>120</v>
      </c>
      <c r="C41" s="797"/>
      <c r="D41" s="830"/>
      <c r="E41" s="830"/>
      <c r="F41" s="830"/>
      <c r="G41" s="797"/>
      <c r="H41" s="106"/>
      <c r="I41" s="106"/>
      <c r="J41" s="106"/>
      <c r="K41" s="106"/>
      <c r="L41" s="106"/>
      <c r="M41" s="106"/>
      <c r="N41" s="106"/>
      <c r="O41" s="106"/>
      <c r="P41" s="106"/>
      <c r="Q41" s="106"/>
    </row>
    <row r="42" spans="1:17" ht="90.75" hidden="1" customHeight="1" outlineLevel="1">
      <c r="A42" s="106"/>
      <c r="B42" s="829" t="s">
        <v>121</v>
      </c>
      <c r="C42" s="829"/>
      <c r="D42" s="829"/>
      <c r="E42" s="829"/>
      <c r="F42" s="829"/>
      <c r="G42" s="829"/>
      <c r="H42" s="106"/>
      <c r="I42" s="106"/>
      <c r="J42" s="106"/>
      <c r="K42" s="106"/>
      <c r="L42" s="106"/>
      <c r="M42" s="106"/>
      <c r="N42" s="106"/>
      <c r="O42" s="106"/>
      <c r="P42" s="106"/>
      <c r="Q42" s="106"/>
    </row>
    <row r="43" spans="1:17" s="106" customFormat="1" hidden="1" outlineLevel="1">
      <c r="B43" s="279"/>
      <c r="C43" s="28"/>
      <c r="D43" s="28"/>
      <c r="E43" s="28"/>
      <c r="F43" s="28"/>
      <c r="G43" s="28"/>
    </row>
    <row r="44" spans="1:17" hidden="1" outlineLevel="1">
      <c r="A44" s="106"/>
      <c r="B44" s="106"/>
      <c r="C44" s="106"/>
      <c r="D44" s="106"/>
      <c r="E44" s="106"/>
      <c r="F44" s="106"/>
      <c r="G44" s="106"/>
      <c r="H44" s="106"/>
      <c r="I44" s="106"/>
      <c r="J44" s="106"/>
      <c r="K44" s="106"/>
      <c r="L44" s="106"/>
      <c r="M44" s="106"/>
      <c r="N44" s="106"/>
      <c r="O44" s="106"/>
      <c r="P44" s="106"/>
      <c r="Q44" s="106"/>
    </row>
    <row r="45" spans="1:17" s="106" customFormat="1" ht="18.95" collapsed="1">
      <c r="A45" s="800" t="s">
        <v>122</v>
      </c>
      <c r="B45" s="800"/>
      <c r="C45" s="33"/>
      <c r="D45" s="33"/>
      <c r="E45" s="33"/>
      <c r="F45" s="33"/>
      <c r="G45" s="33"/>
      <c r="H45" s="33"/>
      <c r="I45" s="33"/>
      <c r="J45" s="33"/>
      <c r="K45" s="33"/>
      <c r="L45" s="33"/>
      <c r="M45" s="33"/>
      <c r="N45" s="33"/>
      <c r="O45" s="33"/>
      <c r="P45" s="33"/>
      <c r="Q45" s="33"/>
    </row>
    <row r="46" spans="1:17" hidden="1" outlineLevel="1">
      <c r="A46" s="106"/>
      <c r="B46" s="106"/>
      <c r="C46" s="106"/>
      <c r="D46" s="106"/>
      <c r="E46" s="106"/>
      <c r="F46" s="106"/>
      <c r="G46" s="106"/>
      <c r="H46" s="106"/>
      <c r="I46" s="106"/>
      <c r="J46" s="106"/>
      <c r="K46" s="106"/>
      <c r="L46" s="106"/>
      <c r="M46" s="106"/>
      <c r="N46" s="106"/>
      <c r="O46" s="106"/>
      <c r="P46" s="106"/>
      <c r="Q46" s="106"/>
    </row>
    <row r="47" spans="1:17" s="106" customFormat="1" hidden="1" outlineLevel="1">
      <c r="A47" s="1" t="s">
        <v>10</v>
      </c>
      <c r="D47" s="35" t="s">
        <v>123</v>
      </c>
    </row>
    <row r="48" spans="1:17" hidden="1" outlineLevel="1">
      <c r="A48" s="184" t="s">
        <v>124</v>
      </c>
      <c r="B48" s="936" t="s">
        <v>125</v>
      </c>
      <c r="C48" s="106"/>
      <c r="D48" s="281" t="s">
        <v>126</v>
      </c>
      <c r="E48" s="106"/>
      <c r="F48" s="106"/>
      <c r="G48" s="106"/>
      <c r="H48" s="106"/>
      <c r="I48" s="106"/>
      <c r="J48" s="106"/>
      <c r="K48" s="106"/>
      <c r="L48" s="106"/>
      <c r="M48" s="106"/>
      <c r="N48" s="106"/>
      <c r="O48" s="106"/>
      <c r="P48" s="106"/>
      <c r="Q48" s="106"/>
    </row>
    <row r="49" spans="1:10" s="106" customFormat="1" hidden="1" outlineLevel="1">
      <c r="A49" s="184" t="s">
        <v>127</v>
      </c>
      <c r="B49" s="936" t="s">
        <v>128</v>
      </c>
      <c r="D49" s="281" t="s">
        <v>129</v>
      </c>
    </row>
    <row r="50" spans="1:10" hidden="1" outlineLevel="1">
      <c r="A50" s="184" t="s">
        <v>130</v>
      </c>
      <c r="B50" s="937">
        <f>400*B15</f>
        <v>640000000</v>
      </c>
      <c r="C50" s="106"/>
      <c r="D50" s="281" t="s">
        <v>131</v>
      </c>
      <c r="E50" s="106"/>
      <c r="F50" s="106"/>
      <c r="G50" s="106"/>
      <c r="H50" s="106"/>
      <c r="I50" s="106"/>
      <c r="J50" s="106"/>
    </row>
    <row r="51" spans="1:10" hidden="1" outlineLevel="1">
      <c r="A51" s="184" t="s">
        <v>132</v>
      </c>
      <c r="B51" s="938" t="s">
        <v>133</v>
      </c>
      <c r="C51" s="106"/>
      <c r="D51" s="281" t="s">
        <v>134</v>
      </c>
      <c r="E51" s="106"/>
      <c r="F51" s="106"/>
      <c r="G51" s="106"/>
      <c r="H51" s="106"/>
      <c r="I51" s="106"/>
      <c r="J51" s="106"/>
    </row>
    <row r="52" spans="1:10" hidden="1" outlineLevel="1">
      <c r="A52" s="257" t="s">
        <v>135</v>
      </c>
      <c r="B52" s="634">
        <f>IF(B30="Select Building Type", "Select Building Type Above",E69*B53)</f>
        <v>122910661.11111112</v>
      </c>
      <c r="C52" s="106"/>
      <c r="D52" s="281" t="s">
        <v>136</v>
      </c>
      <c r="E52" s="106"/>
      <c r="F52" s="106"/>
      <c r="G52" s="106"/>
      <c r="H52" s="106"/>
      <c r="I52" s="106"/>
      <c r="J52" s="106"/>
    </row>
    <row r="53" spans="1:10" hidden="1" outlineLevel="1">
      <c r="A53" s="258" t="s">
        <v>137</v>
      </c>
      <c r="B53" s="634">
        <f>IF(B30="Select Building Type", "Select Building Type Above",B15*E64)</f>
        <v>1360000</v>
      </c>
      <c r="C53" s="106"/>
      <c r="D53" s="281" t="s">
        <v>138</v>
      </c>
      <c r="E53" s="106"/>
      <c r="F53" s="106"/>
      <c r="G53" s="106"/>
      <c r="H53" s="106"/>
      <c r="I53" s="106"/>
      <c r="J53" s="106"/>
    </row>
    <row r="54" spans="1:10" s="106" customFormat="1" hidden="1" outlineLevel="1">
      <c r="A54" s="258" t="s">
        <v>139</v>
      </c>
      <c r="B54" s="939">
        <f>E71*B15</f>
        <v>7040000.0000000009</v>
      </c>
      <c r="D54" s="281" t="s">
        <v>140</v>
      </c>
    </row>
    <row r="55" spans="1:10" s="106" customFormat="1" hidden="1" outlineLevel="1">
      <c r="A55" s="258" t="s">
        <v>141</v>
      </c>
      <c r="B55" s="939">
        <f>E72*B15</f>
        <v>6680000</v>
      </c>
      <c r="D55" s="281" t="s">
        <v>142</v>
      </c>
    </row>
    <row r="56" spans="1:10" s="106" customFormat="1" hidden="1" outlineLevel="1">
      <c r="A56" s="258" t="s">
        <v>143</v>
      </c>
      <c r="B56" s="937">
        <v>0</v>
      </c>
      <c r="D56" s="281" t="s">
        <v>144</v>
      </c>
    </row>
    <row r="57" spans="1:10" s="106" customFormat="1" hidden="1" outlineLevel="1">
      <c r="A57" s="258" t="s">
        <v>127</v>
      </c>
      <c r="B57" s="638">
        <v>20</v>
      </c>
      <c r="D57" s="281" t="s">
        <v>145</v>
      </c>
    </row>
    <row r="58" spans="1:10" hidden="1" outlineLevel="1">
      <c r="A58" s="106"/>
      <c r="B58" s="87"/>
      <c r="C58" s="106"/>
      <c r="D58" s="281"/>
      <c r="E58" s="106"/>
      <c r="F58" s="106"/>
      <c r="G58" s="106"/>
      <c r="H58" s="106"/>
      <c r="I58" s="106"/>
      <c r="J58" s="106"/>
    </row>
    <row r="59" spans="1:10" s="106" customFormat="1" hidden="1" outlineLevel="1">
      <c r="A59" s="214" t="s">
        <v>146</v>
      </c>
      <c r="B59" s="192"/>
      <c r="C59" s="107"/>
      <c r="D59" s="281"/>
    </row>
    <row r="60" spans="1:10" s="106" customFormat="1" hidden="1" outlineLevel="1">
      <c r="A60" s="214"/>
      <c r="C60" s="107"/>
      <c r="D60" s="281"/>
    </row>
    <row r="61" spans="1:10" hidden="1" outlineLevel="1">
      <c r="A61" s="258" t="s">
        <v>147</v>
      </c>
      <c r="B61" s="607">
        <v>50000</v>
      </c>
      <c r="C61" s="106"/>
      <c r="D61" s="257" t="s">
        <v>147</v>
      </c>
      <c r="E61" s="306">
        <v>25000</v>
      </c>
      <c r="F61" s="106"/>
      <c r="G61" s="281" t="s">
        <v>148</v>
      </c>
      <c r="H61" s="106"/>
      <c r="I61" s="106"/>
      <c r="J61" s="106"/>
    </row>
    <row r="62" spans="1:10" s="106" customFormat="1" hidden="1" outlineLevel="1">
      <c r="A62" s="258" t="s">
        <v>149</v>
      </c>
      <c r="B62" s="608">
        <f>E62</f>
        <v>0.05</v>
      </c>
      <c r="D62" s="257" t="s">
        <v>149</v>
      </c>
      <c r="E62" s="940">
        <f>IF(B51="In-House",0,IF(B51="3rd Party",0.05,"Select Management Type"))</f>
        <v>0.05</v>
      </c>
      <c r="G62" s="281" t="s">
        <v>150</v>
      </c>
    </row>
    <row r="63" spans="1:10" s="106" customFormat="1" hidden="1" outlineLevel="1">
      <c r="A63" s="37" t="s">
        <v>151</v>
      </c>
      <c r="B63" s="608">
        <f>E63</f>
        <v>0.05</v>
      </c>
      <c r="D63" s="259" t="s">
        <v>151</v>
      </c>
      <c r="E63" s="941">
        <v>0.05</v>
      </c>
      <c r="G63" s="281" t="s">
        <v>152</v>
      </c>
    </row>
    <row r="64" spans="1:10" hidden="1" outlineLevel="1">
      <c r="A64" s="37" t="s">
        <v>153</v>
      </c>
      <c r="B64" s="608">
        <v>0.8</v>
      </c>
      <c r="C64" s="106"/>
      <c r="D64" s="259" t="s">
        <v>153</v>
      </c>
      <c r="E64" s="635">
        <f>IF(B30="Commercial/other",'Inputs Data'!B4,IF(B30="Select Building Type","Select Building Type Above",'Inputs Data'!C4))</f>
        <v>0.85</v>
      </c>
      <c r="F64" s="106"/>
      <c r="G64" s="281" t="s">
        <v>150</v>
      </c>
      <c r="H64" s="106"/>
      <c r="I64" s="106"/>
      <c r="J64" s="106"/>
    </row>
    <row r="65" spans="1:7" hidden="1" outlineLevel="1">
      <c r="A65" s="37" t="s">
        <v>154</v>
      </c>
      <c r="B65" s="638">
        <f t="shared" ref="B65:B76" si="1">E65</f>
        <v>11390</v>
      </c>
      <c r="C65" s="106"/>
      <c r="D65" s="259" t="s">
        <v>154</v>
      </c>
      <c r="E65" s="224">
        <f>IF($B$48="high",1.25*'Inputs Data'!B5, IF($B$48="medium",1*'Inputs Data'!B5,0.75*'Inputs Data'!B5))</f>
        <v>11390</v>
      </c>
      <c r="F65" s="106"/>
      <c r="G65" s="281" t="s">
        <v>150</v>
      </c>
    </row>
    <row r="66" spans="1:7" hidden="1" outlineLevel="1">
      <c r="A66" s="37" t="s">
        <v>155</v>
      </c>
      <c r="B66" s="609">
        <f t="shared" si="1"/>
        <v>360</v>
      </c>
      <c r="C66" s="106"/>
      <c r="D66" s="259" t="s">
        <v>155</v>
      </c>
      <c r="E66" s="224">
        <f>IF($B$48="High",1.25*'Inputs Data'!B6, IF($B$48="medium",1*'Inputs Data'!B6,0.75*'Inputs Data'!B6))</f>
        <v>360</v>
      </c>
      <c r="F66" s="106"/>
      <c r="G66" s="281" t="s">
        <v>150</v>
      </c>
    </row>
    <row r="67" spans="1:7" hidden="1" outlineLevel="1">
      <c r="A67" s="37" t="s">
        <v>156</v>
      </c>
      <c r="B67" s="638">
        <f t="shared" si="1"/>
        <v>125000</v>
      </c>
      <c r="C67" s="106"/>
      <c r="D67" s="259" t="s">
        <v>156</v>
      </c>
      <c r="E67" s="224">
        <f>IF($B$48="High",1.25*'Inputs Data'!B7, IF($B$48="Medium",1*'Inputs Data'!B7,0.75*'Inputs Data'!B7))</f>
        <v>125000</v>
      </c>
      <c r="F67" s="106"/>
      <c r="G67" s="281" t="s">
        <v>150</v>
      </c>
    </row>
    <row r="68" spans="1:7" hidden="1" outlineLevel="1">
      <c r="A68" s="258" t="s">
        <v>157</v>
      </c>
      <c r="B68" s="608">
        <f t="shared" si="1"/>
        <v>0.04</v>
      </c>
      <c r="C68" s="106"/>
      <c r="D68" s="258" t="s">
        <v>157</v>
      </c>
      <c r="E68" s="635">
        <f>IF(B30="other",'Inputs Data'!B8,IF(B30="Select Building Type","Select Building Type Above",'Inputs Data'!C8))</f>
        <v>0.04</v>
      </c>
      <c r="F68" s="106"/>
      <c r="G68" s="281" t="s">
        <v>150</v>
      </c>
    </row>
    <row r="69" spans="1:7" hidden="1" outlineLevel="1">
      <c r="A69" s="37" t="s">
        <v>158</v>
      </c>
      <c r="B69" s="667">
        <f t="shared" si="1"/>
        <v>90.375486111111115</v>
      </c>
      <c r="C69" s="106" t="s">
        <v>159</v>
      </c>
      <c r="D69" s="259" t="s">
        <v>158</v>
      </c>
      <c r="E69" s="942">
        <f>IF($B$30="Multifamily",IF($B$48="High",1.25*'Inputs Data'!C14, IF($B$48="Low",1*'Inputs Data'!C14,0.75*'Inputs Data'!C14)),IF($B$30="Select Building Type","Select Building Type Above",IF($B$48="High",1.25*'Inputs Data'!B14, IF($B$48="Low",1*'Inputs Data'!B14,0.75*'Inputs Data'!B14))))</f>
        <v>90.375486111111115</v>
      </c>
      <c r="F69" s="106" t="s">
        <v>159</v>
      </c>
      <c r="G69" s="281" t="s">
        <v>150</v>
      </c>
    </row>
    <row r="70" spans="1:7" hidden="1" outlineLevel="1">
      <c r="A70" s="37" t="s">
        <v>160</v>
      </c>
      <c r="B70" s="667">
        <f t="shared" si="1"/>
        <v>4.3250000000000002</v>
      </c>
      <c r="C70" s="106" t="s">
        <v>159</v>
      </c>
      <c r="D70" s="259" t="s">
        <v>160</v>
      </c>
      <c r="E70" s="942">
        <f>IF($B$30="Multifamily",IF($B$48="High",1.25*'Inputs Data'!C20, IF($B$48="Low",1*'Inputs Data'!C20,0.75*'Inputs Data'!C20)),IF($B$30="Commercial/Other",IF($B$48="High",1.25*'Inputs Data'!B20, IF($B$48="Low",1*'Inputs Data'!B20,0.75*'Inputs Data'!B20))))</f>
        <v>4.3250000000000002</v>
      </c>
      <c r="F70" s="106" t="s">
        <v>159</v>
      </c>
      <c r="G70" s="281" t="s">
        <v>150</v>
      </c>
    </row>
    <row r="71" spans="1:7" hidden="1" outlineLevel="1">
      <c r="A71" s="37" t="s">
        <v>161</v>
      </c>
      <c r="B71" s="667">
        <f t="shared" si="1"/>
        <v>4.4000000000000004</v>
      </c>
      <c r="C71" s="106" t="s">
        <v>159</v>
      </c>
      <c r="D71" s="259" t="s">
        <v>161</v>
      </c>
      <c r="E71" s="942">
        <f>IF(B30="Multifamily",IF($B$48="High",1.25*'Inputs Data'!C21, IF($B$48="Low",1*'Inputs Data'!C21,0.75*'Inputs Data'!C21)),IF(B30="Select Building Type","Select Building Type Above",IF($B$48="High",1.25*'Inputs Data'!B21, IF($B$48="Low",1*'Inputs Data'!B21,0.75*'Inputs Data'!B21))))</f>
        <v>4.4000000000000004</v>
      </c>
      <c r="F71" s="106" t="s">
        <v>159</v>
      </c>
      <c r="G71" s="281" t="s">
        <v>150</v>
      </c>
    </row>
    <row r="72" spans="1:7" hidden="1" outlineLevel="1">
      <c r="A72" s="37" t="s">
        <v>162</v>
      </c>
      <c r="B72" s="667">
        <f t="shared" si="1"/>
        <v>4.1749999999999998</v>
      </c>
      <c r="C72" s="106" t="s">
        <v>159</v>
      </c>
      <c r="D72" s="259" t="s">
        <v>162</v>
      </c>
      <c r="E72" s="942">
        <f>IF(B30="Multifamily",IF($B$48="High",1.25*'Inputs Data'!C22, IF($B$48="Low",1*'Inputs Data'!C22,0.75*'Inputs Data'!C22)),IF(B30="Select Building Type","Select Building Type Above",IF($B$48="High",1.25*'Inputs Data'!B22, IF($B$48="Low",1*'Inputs Data'!B22,0.75*'Inputs Data'!B22))))</f>
        <v>4.1749999999999998</v>
      </c>
      <c r="F72" s="106" t="s">
        <v>159</v>
      </c>
      <c r="G72" s="281" t="s">
        <v>150</v>
      </c>
    </row>
    <row r="73" spans="1:7" hidden="1" outlineLevel="1">
      <c r="A73" s="37" t="s">
        <v>163</v>
      </c>
      <c r="B73" s="667">
        <f t="shared" si="1"/>
        <v>1.4249999999999998</v>
      </c>
      <c r="C73" s="106" t="s">
        <v>159</v>
      </c>
      <c r="D73" s="259" t="s">
        <v>163</v>
      </c>
      <c r="E73" s="942">
        <f>IF(B30="Multifamily",IF($B$48="High",1.25*'Inputs Data'!C23, IF($B$48="Low",1*'Inputs Data'!C23,0.75*'Inputs Data'!C23)),IF(B30="Select Building Type","Select Building Type Above",IF($B$48="High",1.25*'Inputs Data'!B23, IF($B$48="Low",1*'Inputs Data'!B23,0.75*'Inputs Data'!B23))))</f>
        <v>1.4249999999999998</v>
      </c>
      <c r="F73" s="106" t="s">
        <v>159</v>
      </c>
      <c r="G73" s="281" t="s">
        <v>150</v>
      </c>
    </row>
    <row r="74" spans="1:7" hidden="1" outlineLevel="1">
      <c r="A74" s="37" t="s">
        <v>164</v>
      </c>
      <c r="B74" s="667">
        <f t="shared" si="1"/>
        <v>1.8125</v>
      </c>
      <c r="C74" s="106" t="s">
        <v>159</v>
      </c>
      <c r="D74" s="259" t="s">
        <v>164</v>
      </c>
      <c r="E74" s="942">
        <f>IF(B30="Multifamily",IF($B$48="High",1.25*'Inputs Data'!C24, IF($B$48="Low",1*'Inputs Data'!C24,0.75*'Inputs Data'!C24)),IF(B30="Select Building Type","Select Building Type Above",IF($B$48="High",1.25*'Inputs Data'!B24, IF($B$48="Low",1*'Inputs Data'!B24,0.75*'Inputs Data'!B24))))</f>
        <v>1.8125</v>
      </c>
      <c r="F74" s="106" t="s">
        <v>159</v>
      </c>
      <c r="G74" s="281" t="s">
        <v>150</v>
      </c>
    </row>
    <row r="75" spans="1:7" hidden="1" outlineLevel="1">
      <c r="A75" s="37" t="s">
        <v>165</v>
      </c>
      <c r="B75" s="667">
        <f t="shared" si="1"/>
        <v>18.725000000000001</v>
      </c>
      <c r="C75" s="106" t="s">
        <v>159</v>
      </c>
      <c r="D75" s="259" t="s">
        <v>165</v>
      </c>
      <c r="E75" s="942">
        <f>IF(B30="Multifamily",IF($B$48="High",1.25*'Inputs Data'!C25, IF($B$48="Low",1*'Inputs Data'!C25,0.75*'Inputs Data'!C25)),IF(B30="Select Building Type","Select Building Type Above",IF($B$48="High",1.25*'Inputs Data'!B25, IF($B$48="Low",1*'Inputs Data'!B25,0.75*'Inputs Data'!B25))))</f>
        <v>18.725000000000001</v>
      </c>
      <c r="F75" s="106" t="s">
        <v>159</v>
      </c>
      <c r="G75" s="281" t="s">
        <v>150</v>
      </c>
    </row>
    <row r="76" spans="1:7" hidden="1" outlineLevel="1">
      <c r="A76" s="37" t="s">
        <v>166</v>
      </c>
      <c r="B76" s="667">
        <f t="shared" si="1"/>
        <v>0.72499999999999998</v>
      </c>
      <c r="C76" s="106" t="s">
        <v>159</v>
      </c>
      <c r="D76" s="259" t="s">
        <v>166</v>
      </c>
      <c r="E76" s="668">
        <f>IF(B30="Multifamily",IF($B$48="High",1.25*'Inputs Data'!C26, IF($B$48="Low",1*'Inputs Data'!C26,0.75*'Inputs Data'!C26)),IF(B30="Select Building Type","Select Building Type Above",IF($B$48="High",1.25*'Inputs Data'!B26, IF($B$48="Low",1*'Inputs Data'!B26))))</f>
        <v>0.72499999999999998</v>
      </c>
      <c r="F76" s="106" t="s">
        <v>159</v>
      </c>
      <c r="G76" s="281" t="s">
        <v>150</v>
      </c>
    </row>
    <row r="77" spans="1:7" s="106" customFormat="1" hidden="1" outlineLevel="1">
      <c r="A77" s="698" t="s">
        <v>167</v>
      </c>
      <c r="B77" s="608">
        <f>E77</f>
        <v>3.5000000000000003E-2</v>
      </c>
      <c r="D77" s="257" t="s">
        <v>168</v>
      </c>
      <c r="E77" s="940">
        <v>3.5000000000000003E-2</v>
      </c>
      <c r="G77" s="281" t="s">
        <v>150</v>
      </c>
    </row>
    <row r="78" spans="1:7" s="106" customFormat="1" hidden="1" outlineLevel="1">
      <c r="A78" s="258" t="s">
        <v>169</v>
      </c>
      <c r="B78" s="608">
        <v>0.01</v>
      </c>
      <c r="C78" s="696"/>
      <c r="D78" s="258"/>
      <c r="E78" s="258"/>
      <c r="G78" s="281"/>
    </row>
    <row r="79" spans="1:7" s="106" customFormat="1" hidden="1" outlineLevel="1">
      <c r="A79" s="258" t="s">
        <v>170</v>
      </c>
      <c r="B79" s="608">
        <v>0.02</v>
      </c>
      <c r="C79" s="696"/>
      <c r="D79" s="258"/>
      <c r="E79" s="258"/>
      <c r="G79" s="281"/>
    </row>
    <row r="80" spans="1:7" s="106" customFormat="1" hidden="1" outlineLevel="1">
      <c r="A80" s="258" t="s">
        <v>171</v>
      </c>
      <c r="B80" s="608">
        <v>0.02</v>
      </c>
      <c r="C80" s="696"/>
      <c r="D80" s="697"/>
      <c r="E80" s="697"/>
      <c r="G80" s="281"/>
    </row>
    <row r="81" spans="1:59" s="106" customFormat="1" hidden="1" outlineLevel="1">
      <c r="A81" s="258" t="s">
        <v>172</v>
      </c>
      <c r="B81" s="608">
        <v>0.01</v>
      </c>
      <c r="C81" s="696"/>
      <c r="D81" s="697"/>
      <c r="E81" s="697"/>
      <c r="G81" s="281"/>
    </row>
    <row r="82" spans="1:59" s="106" customFormat="1" hidden="1" outlineLevel="1">
      <c r="A82" s="258" t="s">
        <v>173</v>
      </c>
      <c r="B82" s="608">
        <v>0.01</v>
      </c>
      <c r="C82" s="696"/>
      <c r="D82" s="697"/>
      <c r="E82" s="697"/>
      <c r="G82" s="281"/>
    </row>
    <row r="83" spans="1:59" s="106" customFormat="1" hidden="1" outlineLevel="1">
      <c r="A83" s="258" t="s">
        <v>174</v>
      </c>
      <c r="B83" s="608">
        <v>0.01</v>
      </c>
      <c r="D83" s="37"/>
      <c r="E83" s="37"/>
      <c r="G83" s="281"/>
    </row>
    <row r="84" spans="1:59" s="106" customFormat="1" hidden="1" outlineLevel="1">
      <c r="D84" s="606"/>
      <c r="G84" s="281"/>
    </row>
    <row r="85" spans="1:59" s="106" customFormat="1" hidden="1" outlineLevel="1">
      <c r="A85" s="259"/>
      <c r="B85" s="606"/>
      <c r="D85" s="281"/>
    </row>
    <row r="86" spans="1:59" s="106" customFormat="1" ht="18.95" collapsed="1">
      <c r="A86" s="800" t="s">
        <v>175</v>
      </c>
      <c r="B86" s="800"/>
      <c r="C86" s="33"/>
      <c r="D86" s="33"/>
      <c r="E86" s="33"/>
      <c r="F86" s="33"/>
      <c r="G86" s="33"/>
      <c r="H86" s="33"/>
      <c r="I86" s="33"/>
      <c r="J86" s="33"/>
      <c r="K86" s="33"/>
      <c r="L86" s="33"/>
      <c r="M86" s="33"/>
      <c r="N86" s="33"/>
      <c r="O86" s="33"/>
      <c r="P86" s="33"/>
      <c r="Q86" s="33"/>
    </row>
    <row r="87" spans="1:59" s="106" customFormat="1" hidden="1" outlineLevel="2">
      <c r="A87" s="214"/>
      <c r="B87" s="192"/>
      <c r="C87" s="107"/>
      <c r="D87" s="128"/>
    </row>
    <row r="88" spans="1:59" s="13" customFormat="1" ht="15.95" hidden="1" outlineLevel="2">
      <c r="A88" s="190" t="s">
        <v>176</v>
      </c>
      <c r="B88" s="776" t="s">
        <v>177</v>
      </c>
      <c r="C88" s="292"/>
      <c r="D88" s="293"/>
      <c r="E88" s="291"/>
      <c r="F88" s="106"/>
      <c r="G88" s="274" t="s">
        <v>178</v>
      </c>
      <c r="H88" s="189"/>
      <c r="I88" s="189"/>
      <c r="J88" s="106"/>
      <c r="K88" s="290"/>
      <c r="L88" s="189"/>
      <c r="M88" s="189"/>
      <c r="N88" s="189"/>
      <c r="O88" s="189"/>
      <c r="P88" s="189"/>
      <c r="Q88" s="189"/>
      <c r="R88" s="189"/>
      <c r="S88" s="189"/>
      <c r="T88" s="189"/>
      <c r="U88" s="189"/>
      <c r="V88" s="189"/>
      <c r="W88" s="189"/>
      <c r="X88" s="189"/>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row>
    <row r="89" spans="1:59" s="13" customFormat="1" ht="15.95" hidden="1" outlineLevel="2">
      <c r="A89" s="260" t="str">
        <f>C127&amp;" Emissions Factor"</f>
        <v>Electricity Emissions Factor</v>
      </c>
      <c r="B89" s="943">
        <f>G89/1000</f>
        <v>8.4690000000000004E-5</v>
      </c>
      <c r="C89" s="537" t="s">
        <v>179</v>
      </c>
      <c r="D89" s="777" t="str">
        <f>IF(CO2_perEleckBTU=G89/1000,"","Not to be edited for the NYSERDA EBC program.")</f>
        <v/>
      </c>
      <c r="E89" s="291"/>
      <c r="F89" s="37" t="s">
        <v>180</v>
      </c>
      <c r="G89" s="943">
        <v>8.4690000000000001E-2</v>
      </c>
      <c r="H89" s="537" t="s">
        <v>181</v>
      </c>
      <c r="I89" s="189"/>
      <c r="J89" s="106"/>
      <c r="K89" s="290"/>
      <c r="L89" s="189"/>
      <c r="M89" s="189"/>
      <c r="N89" s="189"/>
      <c r="O89" s="189"/>
      <c r="P89" s="189"/>
      <c r="Q89" s="189"/>
      <c r="R89" s="189"/>
      <c r="S89" s="189"/>
      <c r="T89" s="189"/>
      <c r="U89" s="189"/>
      <c r="V89" s="189"/>
      <c r="W89" s="189"/>
      <c r="X89" s="189"/>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row>
    <row r="90" spans="1:59" s="13" customFormat="1" ht="15" hidden="1" customHeight="1" outlineLevel="2">
      <c r="A90" s="260" t="str">
        <f t="shared" ref="A90:A96" si="2">C128&amp;" Emissions Factor"</f>
        <v>Natural Gas Emissions Factor</v>
      </c>
      <c r="B90" s="943">
        <f t="shared" ref="B90:B91" si="3">G90/1000</f>
        <v>5.3109999999999998E-5</v>
      </c>
      <c r="C90" s="537" t="s">
        <v>179</v>
      </c>
      <c r="D90" s="777" t="str">
        <f>IF(CO2_perNatGaskBTU=G90/1000,"","Not to be edited for the NYSERDA EBC program.")</f>
        <v/>
      </c>
      <c r="E90" s="291"/>
      <c r="F90" s="538" t="s">
        <v>182</v>
      </c>
      <c r="G90" s="943">
        <v>5.3109999999999997E-2</v>
      </c>
      <c r="H90" s="537" t="s">
        <v>181</v>
      </c>
      <c r="I90" s="189"/>
      <c r="J90" s="106"/>
      <c r="K90" s="290"/>
      <c r="L90" s="189"/>
      <c r="M90" s="189"/>
      <c r="N90" s="189"/>
      <c r="O90" s="189"/>
      <c r="P90" s="189"/>
      <c r="Q90" s="189"/>
      <c r="R90" s="189"/>
      <c r="S90" s="189"/>
      <c r="T90" s="189"/>
      <c r="U90" s="189"/>
      <c r="V90" s="189"/>
      <c r="W90" s="189"/>
      <c r="X90" s="189"/>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row>
    <row r="91" spans="1:59" s="13" customFormat="1" ht="15" hidden="1" customHeight="1" outlineLevel="2">
      <c r="A91" s="260" t="str">
        <f t="shared" si="2"/>
        <v>Purchased Steam Emissions Factor</v>
      </c>
      <c r="B91" s="943">
        <f t="shared" si="3"/>
        <v>4.4929999999999998E-5</v>
      </c>
      <c r="C91" s="537" t="s">
        <v>179</v>
      </c>
      <c r="D91" s="777" t="str">
        <f>IF(CO2_perSteamkBTU=G91/1000,"","Not to be edited for the NYSERDA EBC program.")</f>
        <v/>
      </c>
      <c r="E91" s="291"/>
      <c r="F91" s="538" t="s">
        <v>183</v>
      </c>
      <c r="G91" s="943">
        <v>4.4929999999999998E-2</v>
      </c>
      <c r="H91" s="537" t="s">
        <v>181</v>
      </c>
      <c r="I91" s="189"/>
      <c r="J91" s="106"/>
      <c r="K91" s="290"/>
      <c r="L91" s="189"/>
      <c r="M91" s="189"/>
      <c r="N91" s="189"/>
      <c r="O91" s="189"/>
      <c r="P91" s="189"/>
      <c r="Q91" s="189"/>
      <c r="R91" s="189"/>
      <c r="S91" s="189"/>
      <c r="T91" s="189"/>
      <c r="U91" s="189"/>
      <c r="V91" s="189"/>
      <c r="W91" s="189"/>
      <c r="X91" s="189"/>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row>
    <row r="92" spans="1:59" s="13" customFormat="1" ht="15" hidden="1" customHeight="1" outlineLevel="2">
      <c r="A92" s="260" t="str">
        <f t="shared" si="2"/>
        <v>Purchased Chilled Water Emissions Factor</v>
      </c>
      <c r="B92" s="944">
        <v>0</v>
      </c>
      <c r="C92" s="537" t="s">
        <v>179</v>
      </c>
      <c r="D92" s="293"/>
      <c r="E92" s="291"/>
      <c r="F92" s="538" t="s">
        <v>184</v>
      </c>
      <c r="G92" s="943">
        <v>7.4209999999999998E-2</v>
      </c>
      <c r="H92" s="537" t="s">
        <v>181</v>
      </c>
      <c r="I92" s="189"/>
      <c r="J92" s="106"/>
      <c r="K92" s="290"/>
      <c r="L92" s="189"/>
      <c r="M92" s="189"/>
      <c r="N92" s="189"/>
      <c r="O92" s="189"/>
      <c r="P92" s="189"/>
      <c r="Q92" s="189"/>
      <c r="R92" s="189"/>
      <c r="S92" s="189"/>
      <c r="T92" s="189"/>
      <c r="U92" s="189"/>
      <c r="V92" s="189"/>
      <c r="W92" s="189"/>
      <c r="X92" s="189"/>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row>
    <row r="93" spans="1:59" s="13" customFormat="1" ht="15" hidden="1" customHeight="1" outlineLevel="3">
      <c r="A93" s="260" t="str">
        <f>C131&amp;" Emissions Factor"</f>
        <v>Purchased Hot Water Emissions Factor</v>
      </c>
      <c r="B93" s="945"/>
      <c r="C93" s="537" t="s">
        <v>179</v>
      </c>
      <c r="D93" s="293"/>
      <c r="E93" s="291"/>
      <c r="F93" s="538" t="s">
        <v>185</v>
      </c>
      <c r="G93" s="943">
        <v>7.5290000000000006E-5</v>
      </c>
      <c r="H93" s="537" t="s">
        <v>186</v>
      </c>
      <c r="I93" s="189"/>
      <c r="J93" s="106"/>
      <c r="K93" s="290"/>
      <c r="L93" s="189"/>
      <c r="M93" s="189"/>
      <c r="N93" s="189"/>
      <c r="O93" s="189"/>
      <c r="P93" s="189"/>
      <c r="Q93" s="189"/>
      <c r="R93" s="189"/>
      <c r="S93" s="189"/>
      <c r="T93" s="189"/>
      <c r="U93" s="189"/>
      <c r="V93" s="189"/>
      <c r="W93" s="189"/>
      <c r="X93" s="189"/>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row>
    <row r="94" spans="1:59" s="13" customFormat="1" ht="15" hidden="1" customHeight="1" outlineLevel="3">
      <c r="A94" s="727" t="str">
        <f t="shared" si="2"/>
        <v>Fuel Oil Emissions Factor</v>
      </c>
      <c r="B94" s="945"/>
      <c r="C94" s="537" t="s">
        <v>179</v>
      </c>
      <c r="D94" s="293"/>
      <c r="E94" s="291"/>
      <c r="F94" s="35"/>
      <c r="G94" s="294"/>
      <c r="H94" s="189"/>
      <c r="I94" s="189"/>
      <c r="J94" s="106"/>
      <c r="K94" s="290"/>
      <c r="L94" s="189"/>
      <c r="M94" s="189"/>
      <c r="N94" s="189"/>
      <c r="O94" s="189"/>
      <c r="P94" s="189"/>
      <c r="Q94" s="189"/>
      <c r="R94" s="189"/>
      <c r="S94" s="189"/>
      <c r="T94" s="189"/>
      <c r="U94" s="189"/>
      <c r="V94" s="189"/>
      <c r="W94" s="189"/>
      <c r="X94" s="189"/>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row>
    <row r="95" spans="1:59" s="13" customFormat="1" ht="15" hidden="1" customHeight="1" outlineLevel="3">
      <c r="A95" s="727" t="str">
        <f t="shared" si="2"/>
        <v>Select Metered Energy Type Emissions Factor</v>
      </c>
      <c r="B95" s="945"/>
      <c r="C95" s="537" t="s">
        <v>179</v>
      </c>
      <c r="D95" s="293"/>
      <c r="E95" s="291"/>
      <c r="F95" s="119"/>
      <c r="G95" s="294"/>
      <c r="H95" s="189"/>
      <c r="I95" s="189"/>
      <c r="J95" s="106"/>
      <c r="K95" s="290"/>
      <c r="L95" s="189"/>
      <c r="M95" s="189"/>
      <c r="N95" s="189"/>
      <c r="O95" s="189"/>
      <c r="P95" s="189"/>
      <c r="Q95" s="189"/>
      <c r="R95" s="189"/>
      <c r="S95" s="189"/>
      <c r="T95" s="189"/>
      <c r="U95" s="189"/>
      <c r="V95" s="189"/>
      <c r="W95" s="189"/>
      <c r="X95" s="189"/>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row>
    <row r="96" spans="1:59" s="13" customFormat="1" ht="15" hidden="1" customHeight="1" outlineLevel="3">
      <c r="A96" s="727" t="str">
        <f t="shared" si="2"/>
        <v>Select Metered Energy Type Emissions Factor</v>
      </c>
      <c r="B96" s="945"/>
      <c r="C96" s="537" t="s">
        <v>179</v>
      </c>
      <c r="D96" s="293"/>
      <c r="E96" s="291"/>
      <c r="F96" s="119"/>
      <c r="G96" s="294"/>
      <c r="H96" s="189"/>
      <c r="I96" s="189"/>
      <c r="J96" s="106"/>
      <c r="K96" s="290"/>
      <c r="L96" s="189"/>
      <c r="M96" s="189"/>
      <c r="N96" s="189"/>
      <c r="O96" s="189"/>
      <c r="P96" s="189"/>
      <c r="Q96" s="189"/>
      <c r="R96" s="189"/>
      <c r="S96" s="189"/>
      <c r="T96" s="189"/>
      <c r="U96" s="189"/>
      <c r="V96" s="189"/>
      <c r="W96" s="189"/>
      <c r="X96" s="189"/>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row>
    <row r="97" spans="1:59" s="13" customFormat="1" ht="15" hidden="1" customHeight="1" outlineLevel="2" collapsed="1">
      <c r="A97" s="260" t="s">
        <v>187</v>
      </c>
      <c r="B97" s="945"/>
      <c r="C97" s="537" t="s">
        <v>179</v>
      </c>
      <c r="D97" s="293"/>
      <c r="E97" s="291"/>
      <c r="F97" s="119"/>
      <c r="G97" s="294"/>
      <c r="H97" s="189"/>
      <c r="I97" s="189"/>
      <c r="J97" s="106"/>
      <c r="K97" s="290"/>
      <c r="L97" s="189"/>
      <c r="M97" s="189"/>
      <c r="N97" s="189"/>
      <c r="O97" s="189"/>
      <c r="P97" s="189"/>
      <c r="Q97" s="189"/>
      <c r="R97" s="189"/>
      <c r="S97" s="189"/>
      <c r="T97" s="189"/>
      <c r="U97" s="189"/>
      <c r="V97" s="189"/>
      <c r="W97" s="189"/>
      <c r="X97" s="189"/>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row>
    <row r="98" spans="1:59" s="13" customFormat="1" ht="15" hidden="1" customHeight="1" outlineLevel="2">
      <c r="A98" s="190" t="s">
        <v>188</v>
      </c>
      <c r="B98" s="475"/>
      <c r="C98" s="475"/>
      <c r="D98" s="476"/>
      <c r="E98" s="191"/>
      <c r="F98" s="191"/>
      <c r="G98" s="191"/>
      <c r="H98" s="191"/>
      <c r="I98" s="191"/>
      <c r="J98" s="106"/>
      <c r="K98" s="290"/>
      <c r="L98" s="189"/>
      <c r="M98" s="189"/>
      <c r="N98" s="189"/>
      <c r="O98" s="189"/>
      <c r="P98" s="189"/>
      <c r="Q98" s="189"/>
      <c r="R98" s="189"/>
      <c r="S98" s="189"/>
      <c r="T98" s="189"/>
      <c r="U98" s="189"/>
      <c r="V98" s="189"/>
      <c r="W98" s="189"/>
      <c r="X98" s="189"/>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row>
    <row r="99" spans="1:59" s="13" customFormat="1" ht="15" hidden="1" customHeight="1" outlineLevel="2">
      <c r="A99" s="41" t="s">
        <v>189</v>
      </c>
      <c r="B99" s="946">
        <f>268</f>
        <v>268</v>
      </c>
      <c r="C99" s="537" t="s">
        <v>190</v>
      </c>
      <c r="D99" s="777" t="str">
        <f>IF(B99=268,"","Not to be edited for the NYSERDA EBC program.")</f>
        <v/>
      </c>
      <c r="E99" s="191"/>
      <c r="F99" s="191"/>
      <c r="G99" s="191"/>
      <c r="H99" s="191"/>
      <c r="I99" s="191"/>
      <c r="J99" s="191"/>
      <c r="K99" s="290"/>
      <c r="L99" s="189"/>
      <c r="M99" s="189"/>
      <c r="N99" s="189"/>
      <c r="O99" s="189"/>
      <c r="P99" s="189"/>
      <c r="Q99" s="189"/>
      <c r="R99" s="189"/>
      <c r="S99" s="189"/>
      <c r="T99" s="189"/>
      <c r="U99" s="189"/>
      <c r="V99" s="189"/>
      <c r="W99" s="189"/>
      <c r="X99" s="189"/>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row>
    <row r="100" spans="1:59" s="13" customFormat="1" ht="15" hidden="1" customHeight="1" outlineLevel="2">
      <c r="A100" s="475"/>
      <c r="B100" s="475"/>
      <c r="C100" s="475"/>
      <c r="D100" s="476"/>
      <c r="E100" s="191"/>
      <c r="F100" s="539"/>
      <c r="G100" s="540"/>
      <c r="H100" s="537"/>
      <c r="I100" s="537"/>
      <c r="J100" s="290"/>
      <c r="K100" s="290"/>
      <c r="L100" s="189"/>
      <c r="M100" s="189"/>
      <c r="N100" s="189"/>
      <c r="O100" s="189"/>
      <c r="P100" s="189"/>
      <c r="Q100" s="189"/>
      <c r="R100" s="189"/>
      <c r="S100" s="189"/>
      <c r="T100" s="189"/>
      <c r="U100" s="189"/>
      <c r="V100" s="189"/>
      <c r="W100" s="189"/>
      <c r="X100" s="189"/>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row>
    <row r="101" spans="1:59" s="13" customFormat="1" ht="15" hidden="1" customHeight="1" outlineLevel="2">
      <c r="A101" s="541"/>
      <c r="B101" s="542" t="s">
        <v>191</v>
      </c>
      <c r="C101" s="541"/>
      <c r="D101" s="476"/>
      <c r="E101" s="106"/>
      <c r="F101" s="539"/>
      <c r="G101" s="542" t="s">
        <v>192</v>
      </c>
      <c r="H101" s="537"/>
      <c r="I101" s="189"/>
      <c r="J101" s="290"/>
      <c r="K101" s="290"/>
      <c r="L101" s="189"/>
      <c r="M101" s="189"/>
      <c r="N101" s="189"/>
      <c r="O101" s="189"/>
      <c r="P101" s="189"/>
      <c r="Q101" s="189"/>
      <c r="R101" s="189"/>
      <c r="S101" s="189"/>
      <c r="T101" s="189"/>
      <c r="U101" s="189"/>
      <c r="V101" s="189"/>
      <c r="W101" s="189"/>
      <c r="X101" s="189"/>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row>
    <row r="102" spans="1:59" s="13" customFormat="1" ht="15" hidden="1" customHeight="1" outlineLevel="2">
      <c r="A102" s="41" t="s">
        <v>193</v>
      </c>
      <c r="B102" s="947">
        <v>1.074E-2</v>
      </c>
      <c r="C102" s="537" t="s">
        <v>194</v>
      </c>
      <c r="D102" s="476"/>
      <c r="E102" s="106"/>
      <c r="F102" s="41" t="s">
        <v>193</v>
      </c>
      <c r="G102" s="947">
        <v>4.1999999999999997E-3</v>
      </c>
      <c r="H102" s="537" t="s">
        <v>194</v>
      </c>
      <c r="I102" s="189"/>
      <c r="J102" s="290"/>
      <c r="K102" s="290"/>
      <c r="L102" s="189"/>
      <c r="M102" s="189"/>
      <c r="N102" s="189"/>
      <c r="O102" s="189"/>
      <c r="P102" s="189"/>
      <c r="Q102" s="189"/>
      <c r="R102" s="189"/>
      <c r="S102" s="189"/>
      <c r="T102" s="189"/>
      <c r="U102" s="189"/>
      <c r="V102" s="189"/>
      <c r="W102" s="189"/>
      <c r="X102" s="189"/>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row>
    <row r="103" spans="1:59" s="13" customFormat="1" ht="15" hidden="1" customHeight="1" outlineLevel="2">
      <c r="A103" s="41" t="s">
        <v>99</v>
      </c>
      <c r="B103" s="947">
        <v>8.4600000000000005E-3</v>
      </c>
      <c r="C103" s="537" t="s">
        <v>194</v>
      </c>
      <c r="D103" s="476"/>
      <c r="E103" s="106"/>
      <c r="F103" s="41" t="s">
        <v>99</v>
      </c>
      <c r="G103" s="947">
        <v>4.5300000000000002E-3</v>
      </c>
      <c r="H103" s="537" t="s">
        <v>194</v>
      </c>
      <c r="I103" s="189"/>
      <c r="J103" s="290"/>
      <c r="K103" s="290"/>
      <c r="L103" s="189"/>
      <c r="M103" s="189"/>
      <c r="N103" s="189"/>
      <c r="O103" s="189"/>
      <c r="P103" s="189"/>
      <c r="Q103" s="189"/>
      <c r="R103" s="189"/>
      <c r="S103" s="189"/>
      <c r="T103" s="189"/>
      <c r="U103" s="189"/>
      <c r="V103" s="189"/>
      <c r="W103" s="189"/>
      <c r="X103" s="189"/>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row>
    <row r="104" spans="1:59" s="13" customFormat="1" ht="15" hidden="1" customHeight="1" outlineLevel="2">
      <c r="A104" s="41" t="s">
        <v>195</v>
      </c>
      <c r="B104" s="947">
        <v>2.3810000000000001E-2</v>
      </c>
      <c r="C104" s="537" t="s">
        <v>194</v>
      </c>
      <c r="D104" s="476"/>
      <c r="E104" s="106"/>
      <c r="F104" s="41" t="s">
        <v>195</v>
      </c>
      <c r="G104" s="947">
        <v>1.3299999999999999E-2</v>
      </c>
      <c r="H104" s="537" t="s">
        <v>194</v>
      </c>
      <c r="I104" s="189"/>
      <c r="J104" s="290"/>
      <c r="K104" s="290"/>
      <c r="L104" s="189"/>
      <c r="M104" s="189"/>
      <c r="N104" s="189"/>
      <c r="O104" s="189"/>
      <c r="P104" s="189"/>
      <c r="Q104" s="189"/>
      <c r="R104" s="189"/>
      <c r="S104" s="189"/>
      <c r="T104" s="189"/>
      <c r="U104" s="189"/>
      <c r="V104" s="189"/>
      <c r="W104" s="189"/>
      <c r="X104" s="189"/>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row>
    <row r="105" spans="1:59" s="13" customFormat="1" ht="15" hidden="1" customHeight="1" outlineLevel="2">
      <c r="A105" s="41" t="s">
        <v>196</v>
      </c>
      <c r="B105" s="947">
        <v>7.5799999999999999E-3</v>
      </c>
      <c r="C105" s="537" t="s">
        <v>194</v>
      </c>
      <c r="D105" s="476"/>
      <c r="E105" s="106"/>
      <c r="F105" s="41" t="s">
        <v>196</v>
      </c>
      <c r="G105" s="947">
        <v>3.4399999999999999E-3</v>
      </c>
      <c r="H105" s="537" t="s">
        <v>194</v>
      </c>
      <c r="I105" s="189"/>
      <c r="J105" s="290"/>
      <c r="K105" s="290"/>
      <c r="L105" s="189"/>
      <c r="M105" s="189"/>
      <c r="N105" s="189"/>
      <c r="O105" s="189"/>
      <c r="P105" s="189"/>
      <c r="Q105" s="189"/>
      <c r="R105" s="189"/>
      <c r="S105" s="189"/>
      <c r="T105" s="189"/>
      <c r="U105" s="189"/>
      <c r="V105" s="189"/>
      <c r="W105" s="189"/>
      <c r="X105" s="189"/>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row>
    <row r="106" spans="1:59" s="13" customFormat="1" ht="15" hidden="1" customHeight="1" outlineLevel="2">
      <c r="A106" s="41" t="s">
        <v>197</v>
      </c>
      <c r="B106" s="947">
        <v>2.3810000000000001E-2</v>
      </c>
      <c r="C106" s="537" t="s">
        <v>194</v>
      </c>
      <c r="D106" s="476"/>
      <c r="E106" s="106"/>
      <c r="F106" s="41" t="s">
        <v>197</v>
      </c>
      <c r="G106" s="947">
        <v>1.3299999999999999E-2</v>
      </c>
      <c r="H106" s="537" t="s">
        <v>194</v>
      </c>
      <c r="I106" s="189"/>
      <c r="J106" s="290"/>
      <c r="K106" s="290"/>
      <c r="L106" s="189"/>
      <c r="M106" s="189"/>
      <c r="N106" s="189"/>
      <c r="O106" s="189"/>
      <c r="P106" s="189"/>
      <c r="Q106" s="189"/>
      <c r="R106" s="189"/>
      <c r="S106" s="189"/>
      <c r="T106" s="189"/>
      <c r="U106" s="189"/>
      <c r="V106" s="189"/>
      <c r="W106" s="189"/>
      <c r="X106" s="189"/>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row>
    <row r="107" spans="1:59" s="13" customFormat="1" ht="15" hidden="1" customHeight="1" outlineLevel="2">
      <c r="A107" s="41" t="s">
        <v>198</v>
      </c>
      <c r="B107" s="947">
        <v>1.1379999999999999E-2</v>
      </c>
      <c r="C107" s="537" t="s">
        <v>194</v>
      </c>
      <c r="D107" s="476"/>
      <c r="E107" s="106"/>
      <c r="F107" s="41" t="s">
        <v>198</v>
      </c>
      <c r="G107" s="947">
        <v>5.9800000000000001E-3</v>
      </c>
      <c r="H107" s="537" t="s">
        <v>194</v>
      </c>
      <c r="I107" s="189"/>
      <c r="J107" s="290"/>
      <c r="K107" s="290"/>
      <c r="L107" s="189"/>
      <c r="M107" s="189"/>
      <c r="N107" s="189"/>
      <c r="O107" s="189"/>
      <c r="P107" s="189"/>
      <c r="Q107" s="189"/>
      <c r="R107" s="189"/>
      <c r="S107" s="189"/>
      <c r="T107" s="189"/>
      <c r="U107" s="189"/>
      <c r="V107" s="189"/>
      <c r="W107" s="189"/>
      <c r="X107" s="189"/>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row>
    <row r="108" spans="1:59" s="13" customFormat="1" ht="15" hidden="1" customHeight="1" outlineLevel="2">
      <c r="A108" s="41" t="s">
        <v>199</v>
      </c>
      <c r="B108" s="947">
        <v>2.3810000000000001E-2</v>
      </c>
      <c r="C108" s="537" t="s">
        <v>194</v>
      </c>
      <c r="D108" s="476"/>
      <c r="E108" s="106"/>
      <c r="F108" s="41" t="s">
        <v>199</v>
      </c>
      <c r="G108" s="947">
        <v>1.3299999999999999E-2</v>
      </c>
      <c r="H108" s="537" t="s">
        <v>194</v>
      </c>
      <c r="I108" s="189"/>
      <c r="J108" s="290"/>
      <c r="K108" s="290"/>
      <c r="L108" s="189"/>
      <c r="M108" s="189"/>
      <c r="N108" s="189"/>
      <c r="O108" s="189"/>
      <c r="P108" s="189"/>
      <c r="Q108" s="189"/>
      <c r="R108" s="189"/>
      <c r="S108" s="189"/>
      <c r="T108" s="189"/>
      <c r="U108" s="189"/>
      <c r="V108" s="189"/>
      <c r="W108" s="189"/>
      <c r="X108" s="189"/>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row>
    <row r="109" spans="1:59" s="13" customFormat="1" ht="15" hidden="1" customHeight="1" outlineLevel="2">
      <c r="A109" s="41" t="s">
        <v>200</v>
      </c>
      <c r="B109" s="947">
        <v>2.3810000000000001E-2</v>
      </c>
      <c r="C109" s="537" t="s">
        <v>194</v>
      </c>
      <c r="D109" s="476"/>
      <c r="E109" s="106"/>
      <c r="F109" s="41" t="s">
        <v>200</v>
      </c>
      <c r="G109" s="947">
        <v>1.3299999999999999E-2</v>
      </c>
      <c r="H109" s="537" t="s">
        <v>194</v>
      </c>
      <c r="I109" s="189"/>
      <c r="J109" s="290"/>
      <c r="K109" s="290"/>
      <c r="L109" s="189"/>
      <c r="M109" s="189"/>
      <c r="N109" s="189"/>
      <c r="O109" s="189"/>
      <c r="P109" s="189"/>
      <c r="Q109" s="189"/>
      <c r="R109" s="189"/>
      <c r="S109" s="189"/>
      <c r="T109" s="189"/>
      <c r="U109" s="189"/>
      <c r="V109" s="189"/>
      <c r="W109" s="189"/>
      <c r="X109" s="189"/>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row>
    <row r="110" spans="1:59" s="13" customFormat="1" ht="15" hidden="1" customHeight="1" outlineLevel="2">
      <c r="A110" s="41" t="s">
        <v>201</v>
      </c>
      <c r="B110" s="947">
        <v>7.5799999999999999E-3</v>
      </c>
      <c r="C110" s="537" t="s">
        <v>194</v>
      </c>
      <c r="D110" s="476"/>
      <c r="E110" s="106"/>
      <c r="F110" s="41" t="s">
        <v>201</v>
      </c>
      <c r="G110" s="947">
        <v>3.4399999999999999E-3</v>
      </c>
      <c r="H110" s="537" t="s">
        <v>194</v>
      </c>
      <c r="I110" s="189"/>
      <c r="J110" s="290"/>
      <c r="K110" s="290"/>
      <c r="L110" s="189"/>
      <c r="M110" s="189"/>
      <c r="N110" s="189"/>
      <c r="O110" s="189"/>
      <c r="P110" s="189"/>
      <c r="Q110" s="189"/>
      <c r="R110" s="189"/>
      <c r="S110" s="189"/>
      <c r="T110" s="189"/>
      <c r="U110" s="189"/>
      <c r="V110" s="189"/>
      <c r="W110" s="189"/>
      <c r="X110" s="189"/>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row>
    <row r="111" spans="1:59" s="13" customFormat="1" ht="15" hidden="1" customHeight="1" outlineLevel="2">
      <c r="A111" s="41" t="s">
        <v>100</v>
      </c>
      <c r="B111" s="947">
        <v>1.1809999999999999E-2</v>
      </c>
      <c r="C111" s="537" t="s">
        <v>194</v>
      </c>
      <c r="D111" s="476"/>
      <c r="E111" s="106"/>
      <c r="F111" s="41" t="s">
        <v>100</v>
      </c>
      <c r="G111" s="947">
        <v>4.0299999999999997E-3</v>
      </c>
      <c r="H111" s="537" t="s">
        <v>194</v>
      </c>
      <c r="I111" s="189"/>
      <c r="J111" s="290"/>
      <c r="K111" s="290"/>
      <c r="L111" s="189"/>
      <c r="M111" s="189"/>
      <c r="N111" s="189"/>
      <c r="O111" s="189"/>
      <c r="P111" s="189"/>
      <c r="Q111" s="189"/>
      <c r="R111" s="189"/>
      <c r="S111" s="189"/>
      <c r="T111" s="189"/>
      <c r="U111" s="189"/>
      <c r="V111" s="189"/>
      <c r="W111" s="189"/>
      <c r="X111" s="189"/>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row>
    <row r="112" spans="1:59" s="13" customFormat="1" ht="15" hidden="1" customHeight="1" outlineLevel="2">
      <c r="A112" s="41" t="s">
        <v>202</v>
      </c>
      <c r="B112" s="947">
        <v>9.8700000000000003E-3</v>
      </c>
      <c r="C112" s="537" t="s">
        <v>194</v>
      </c>
      <c r="D112" s="476"/>
      <c r="E112" s="106"/>
      <c r="F112" s="41" t="s">
        <v>202</v>
      </c>
      <c r="G112" s="947">
        <v>5.2599999999999999E-3</v>
      </c>
      <c r="H112" s="537" t="s">
        <v>194</v>
      </c>
      <c r="I112" s="189"/>
      <c r="J112" s="290"/>
      <c r="K112" s="290"/>
      <c r="L112" s="189"/>
      <c r="M112" s="189"/>
      <c r="N112" s="189"/>
      <c r="O112" s="189"/>
      <c r="P112" s="189"/>
      <c r="Q112" s="189"/>
      <c r="R112" s="189"/>
      <c r="S112" s="189"/>
      <c r="T112" s="189"/>
      <c r="U112" s="189"/>
      <c r="V112" s="189"/>
      <c r="W112" s="189"/>
      <c r="X112" s="189"/>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row>
    <row r="113" spans="1:59" s="13" customFormat="1" ht="15" hidden="1" customHeight="1" outlineLevel="2">
      <c r="A113" s="41" t="s">
        <v>203</v>
      </c>
      <c r="B113" s="947">
        <v>6.7499999999999999E-3</v>
      </c>
      <c r="C113" s="537" t="s">
        <v>194</v>
      </c>
      <c r="D113" s="476"/>
      <c r="E113" s="106"/>
      <c r="F113" s="41" t="s">
        <v>203</v>
      </c>
      <c r="G113" s="947">
        <v>4.0699999999999998E-3</v>
      </c>
      <c r="H113" s="537" t="s">
        <v>194</v>
      </c>
      <c r="I113" s="189"/>
      <c r="J113" s="290"/>
      <c r="K113" s="290"/>
      <c r="L113" s="189"/>
      <c r="M113" s="189"/>
      <c r="N113" s="189"/>
      <c r="O113" s="189"/>
      <c r="P113" s="189"/>
      <c r="Q113" s="189"/>
      <c r="R113" s="189"/>
      <c r="S113" s="189"/>
      <c r="T113" s="189"/>
      <c r="U113" s="189"/>
      <c r="V113" s="189"/>
      <c r="W113" s="189"/>
      <c r="X113" s="189"/>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row>
    <row r="114" spans="1:59" s="13" customFormat="1" ht="15" hidden="1" customHeight="1" outlineLevel="2">
      <c r="A114" s="41" t="s">
        <v>101</v>
      </c>
      <c r="B114" s="947">
        <v>4.2599999999999999E-3</v>
      </c>
      <c r="C114" s="537" t="s">
        <v>194</v>
      </c>
      <c r="D114" s="476"/>
      <c r="E114" s="106"/>
      <c r="F114" s="41" t="s">
        <v>101</v>
      </c>
      <c r="G114" s="947">
        <v>1.1000000000000001E-3</v>
      </c>
      <c r="H114" s="537" t="s">
        <v>194</v>
      </c>
      <c r="I114" s="189"/>
      <c r="J114" s="290"/>
      <c r="K114" s="290"/>
      <c r="L114" s="189"/>
      <c r="M114" s="189"/>
      <c r="N114" s="189"/>
      <c r="O114" s="189"/>
      <c r="P114" s="189"/>
      <c r="Q114" s="189"/>
      <c r="R114" s="189"/>
      <c r="S114" s="189"/>
      <c r="T114" s="189"/>
      <c r="U114" s="189"/>
      <c r="V114" s="189"/>
      <c r="W114" s="189"/>
      <c r="X114" s="189"/>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row>
    <row r="115" spans="1:59" s="13" customFormat="1" ht="15" hidden="1" customHeight="1" outlineLevel="2">
      <c r="A115" s="41" t="s">
        <v>102</v>
      </c>
      <c r="B115" s="947">
        <v>4.2599999999999999E-3</v>
      </c>
      <c r="C115" s="537" t="s">
        <v>194</v>
      </c>
      <c r="D115" s="476"/>
      <c r="E115" s="106"/>
      <c r="F115" s="41" t="s">
        <v>102</v>
      </c>
      <c r="G115" s="947">
        <v>1.1000000000000001E-3</v>
      </c>
      <c r="H115" s="537" t="s">
        <v>194</v>
      </c>
      <c r="I115" s="189"/>
      <c r="J115" s="290"/>
      <c r="K115" s="290"/>
      <c r="L115" s="189"/>
      <c r="M115" s="189"/>
      <c r="N115" s="189"/>
      <c r="O115" s="189"/>
      <c r="P115" s="189"/>
      <c r="Q115" s="189"/>
      <c r="R115" s="189"/>
      <c r="S115" s="189"/>
      <c r="T115" s="189"/>
      <c r="U115" s="189"/>
      <c r="V115" s="189"/>
      <c r="W115" s="189"/>
      <c r="X115" s="189"/>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row>
    <row r="116" spans="1:59" s="104" customFormat="1" ht="15" hidden="1" customHeight="1" outlineLevel="2">
      <c r="A116" s="561"/>
      <c r="B116" s="562"/>
      <c r="C116" s="111"/>
      <c r="D116" s="563"/>
      <c r="E116" s="111"/>
      <c r="F116" s="561"/>
      <c r="G116" s="562"/>
      <c r="H116" s="111"/>
      <c r="I116" s="564"/>
      <c r="J116" s="291"/>
      <c r="K116" s="291"/>
      <c r="L116" s="564"/>
      <c r="M116" s="564"/>
      <c r="N116" s="564"/>
      <c r="O116" s="564"/>
      <c r="P116" s="564"/>
      <c r="Q116" s="564"/>
      <c r="R116" s="564"/>
      <c r="S116" s="564"/>
      <c r="T116" s="564"/>
      <c r="U116" s="564"/>
      <c r="V116" s="564"/>
      <c r="W116" s="564"/>
      <c r="X116" s="564"/>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row>
    <row r="117" spans="1:59" s="104" customFormat="1" ht="15" hidden="1" customHeight="1" outlineLevel="2">
      <c r="A117" s="561" t="s">
        <v>204</v>
      </c>
      <c r="B117" s="948">
        <f>IF(ISBLANK(C23),0,VLOOKUP(B23,$A$102:$B$115,2)*C23)+IF(ISBLANK(C24),0,VLOOKUP(B24,$A$102:$B$115,2)*C24)+IF(ISBLANK(C25),0,VLOOKUP(B25,$A$102:$B$115,2)*C25)+IF(ISBLANK(C26),0,VLOOKUP(B26,$A$102:$B$115,2)*C26)+IF(ISBLANK(C27),0,VLOOKUP(B27,$A$102:$B$115,2)*C27)+IF(ISBLANK(C28),0,VLOOKUP(B28,$A$102:$B$115,2)*C28)+IF(ISBLANK(C29),0,VLOOKUP(B29,$A$102:$B$115,2)*C29)</f>
        <v>13451</v>
      </c>
      <c r="C117" s="565" t="s">
        <v>205</v>
      </c>
      <c r="D117" s="566"/>
      <c r="E117" s="111"/>
      <c r="F117" s="561" t="s">
        <v>206</v>
      </c>
      <c r="G117" s="949">
        <f>IF(ISBLANK(C23),0,VLOOKUP(B23,$F$102:$G$115,2)*C23)+IF(ISBLANK(C24),0,VLOOKUP(B24,$F$102:$G$115,2)*C24)+IF(ISBLANK(C25),0,VLOOKUP(B25,$F$102:$G$115,2)*C25)+IF(ISBLANK(C26),0,VLOOKUP(B26,$F$102:$G$115,2)*C26)+IF(ISBLANK(C27),0,VLOOKUP(B27,$F$102:$G$115,2)*C27)+IF(ISBLANK(C28),0,VLOOKUP(B28,$F$102:$G$115,2)*C28)+IF(ISBLANK(C29),0,VLOOKUP(B29,$F$102:$G$115,2)*C29)</f>
        <v>6855</v>
      </c>
      <c r="H117" s="565" t="s">
        <v>205</v>
      </c>
      <c r="I117" s="564"/>
      <c r="J117" s="291"/>
      <c r="K117" s="291"/>
      <c r="L117" s="564"/>
      <c r="M117" s="564"/>
      <c r="N117" s="564"/>
      <c r="O117" s="564"/>
      <c r="P117" s="564"/>
      <c r="Q117" s="564"/>
      <c r="R117" s="564"/>
      <c r="S117" s="564"/>
      <c r="T117" s="564"/>
      <c r="U117" s="564"/>
      <c r="V117" s="564"/>
      <c r="W117" s="564"/>
      <c r="X117" s="564"/>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row>
    <row r="118" spans="1:59" s="104" customFormat="1" ht="15" hidden="1" customHeight="1" outlineLevel="2">
      <c r="A118" s="561"/>
      <c r="B118" s="573"/>
      <c r="C118" s="565"/>
      <c r="D118" s="566"/>
      <c r="E118" s="111"/>
      <c r="F118" s="561"/>
      <c r="G118" s="574"/>
      <c r="H118" s="565"/>
      <c r="I118" s="564"/>
      <c r="J118" s="291"/>
      <c r="K118" s="291"/>
      <c r="L118" s="564"/>
      <c r="M118" s="564"/>
      <c r="N118" s="564"/>
      <c r="O118" s="564"/>
      <c r="P118" s="564"/>
      <c r="Q118" s="564"/>
      <c r="R118" s="564"/>
      <c r="S118" s="564"/>
      <c r="T118" s="564"/>
      <c r="U118" s="564"/>
      <c r="V118" s="564"/>
      <c r="W118" s="564"/>
      <c r="X118" s="564"/>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row>
    <row r="119" spans="1:59" s="104" customFormat="1" ht="15" hidden="1" customHeight="1" outlineLevel="2">
      <c r="A119" s="561" t="s">
        <v>207</v>
      </c>
      <c r="B119" s="950">
        <v>25</v>
      </c>
      <c r="C119" s="565" t="s">
        <v>45</v>
      </c>
      <c r="D119" s="566"/>
      <c r="E119" s="111"/>
      <c r="F119" s="561"/>
      <c r="G119" s="574"/>
      <c r="H119" s="565"/>
      <c r="I119" s="564"/>
      <c r="J119" s="291"/>
      <c r="K119" s="291"/>
      <c r="L119" s="564"/>
      <c r="M119" s="564"/>
      <c r="N119" s="564"/>
      <c r="O119" s="564"/>
      <c r="P119" s="564"/>
      <c r="Q119" s="564"/>
      <c r="R119" s="564"/>
      <c r="S119" s="564"/>
      <c r="T119" s="564"/>
      <c r="U119" s="564"/>
      <c r="V119" s="564"/>
      <c r="W119" s="564"/>
      <c r="X119" s="564"/>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row>
    <row r="120" spans="1:59" s="104" customFormat="1" ht="15" hidden="1" customHeight="1" outlineLevel="2">
      <c r="A120" s="669" t="s">
        <v>208</v>
      </c>
      <c r="B120" s="951">
        <v>0.02</v>
      </c>
      <c r="C120" s="46" t="s">
        <v>209</v>
      </c>
      <c r="D120" s="566"/>
      <c r="E120" s="111"/>
      <c r="F120" s="561"/>
      <c r="G120" s="574"/>
      <c r="H120" s="565"/>
      <c r="I120" s="564"/>
      <c r="J120" s="291"/>
      <c r="K120" s="291"/>
      <c r="L120" s="564"/>
      <c r="M120" s="564"/>
      <c r="N120" s="564"/>
      <c r="O120" s="564"/>
      <c r="P120" s="564"/>
      <c r="Q120" s="564"/>
      <c r="R120" s="564"/>
      <c r="S120" s="564"/>
      <c r="T120" s="564"/>
      <c r="U120" s="564"/>
      <c r="V120" s="564"/>
      <c r="W120" s="564"/>
      <c r="X120" s="564"/>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row>
    <row r="121" spans="1:59" hidden="1" outlineLevel="2">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row>
    <row r="122" spans="1:59" s="106" customFormat="1" ht="18.95" collapsed="1">
      <c r="A122" s="800" t="s">
        <v>210</v>
      </c>
      <c r="B122" s="800"/>
      <c r="C122" s="33"/>
      <c r="D122" s="33"/>
      <c r="E122" s="33"/>
      <c r="F122" s="33"/>
      <c r="G122" s="33"/>
      <c r="H122" s="33"/>
      <c r="I122" s="33"/>
      <c r="J122" s="33"/>
      <c r="K122" s="33"/>
      <c r="L122" s="33"/>
      <c r="M122" s="33"/>
      <c r="N122" s="33"/>
      <c r="O122" s="33"/>
      <c r="P122" s="33"/>
      <c r="Q122" s="33"/>
    </row>
    <row r="123" spans="1:59" outlineLevel="1">
      <c r="A123" s="111"/>
      <c r="B123" s="111"/>
      <c r="C123" s="111"/>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row>
    <row r="124" spans="1:59" outlineLevel="1">
      <c r="A124" s="952" t="s">
        <v>211</v>
      </c>
      <c r="B124" s="952"/>
      <c r="C124" s="833" t="str">
        <f>B5</f>
        <v>EBC Typical Applicant Building</v>
      </c>
      <c r="D124" s="833"/>
      <c r="E124" s="833"/>
      <c r="F124" s="106"/>
      <c r="G124" s="186"/>
      <c r="H124" s="106"/>
      <c r="I124" s="185" t="s">
        <v>212</v>
      </c>
      <c r="J124" s="119"/>
      <c r="K124" s="119"/>
      <c r="L124" s="119"/>
      <c r="M124" s="119"/>
      <c r="N124" s="119"/>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row>
    <row r="125" spans="1:59" ht="15" customHeight="1" outlineLevel="1">
      <c r="A125" s="952" t="s">
        <v>213</v>
      </c>
      <c r="B125" s="952"/>
      <c r="C125" s="837">
        <f>B15</f>
        <v>1600000</v>
      </c>
      <c r="D125" s="837"/>
      <c r="E125" s="837"/>
      <c r="F125" s="106"/>
      <c r="G125" s="186"/>
      <c r="H125" s="106"/>
      <c r="I125" s="809" t="s">
        <v>214</v>
      </c>
      <c r="J125" s="809"/>
      <c r="K125" s="809"/>
      <c r="L125" s="809"/>
      <c r="M125" s="809"/>
      <c r="N125" s="809"/>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row>
    <row r="126" spans="1:59" outlineLevel="1">
      <c r="A126" s="952" t="s">
        <v>215</v>
      </c>
      <c r="B126" s="952"/>
      <c r="C126" s="835">
        <v>44197</v>
      </c>
      <c r="D126" s="835"/>
      <c r="E126" s="835"/>
      <c r="F126" s="106"/>
      <c r="G126" s="49"/>
      <c r="H126" s="106"/>
      <c r="I126" s="809"/>
      <c r="J126" s="809"/>
      <c r="K126" s="809"/>
      <c r="L126" s="809"/>
      <c r="M126" s="809"/>
      <c r="N126" s="809"/>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row>
    <row r="127" spans="1:59" outlineLevel="1">
      <c r="A127" s="953" t="s">
        <v>216</v>
      </c>
      <c r="B127" s="953"/>
      <c r="C127" s="834" t="s">
        <v>110</v>
      </c>
      <c r="D127" s="834"/>
      <c r="E127" s="834"/>
      <c r="F127" s="106"/>
      <c r="G127" s="97"/>
      <c r="H127" s="106"/>
      <c r="I127" s="809"/>
      <c r="J127" s="809"/>
      <c r="K127" s="809"/>
      <c r="L127" s="809"/>
      <c r="M127" s="809"/>
      <c r="N127" s="809"/>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row>
    <row r="128" spans="1:59" outlineLevel="1">
      <c r="A128" s="953" t="s">
        <v>217</v>
      </c>
      <c r="B128" s="953"/>
      <c r="C128" s="812" t="s">
        <v>182</v>
      </c>
      <c r="D128" s="812"/>
      <c r="E128" s="812"/>
      <c r="F128" s="106"/>
      <c r="G128" s="97"/>
      <c r="H128" s="106"/>
      <c r="I128" s="810" t="s">
        <v>218</v>
      </c>
      <c r="J128" s="810"/>
      <c r="K128" s="810"/>
      <c r="L128" s="810"/>
      <c r="M128" s="810"/>
      <c r="N128" s="810"/>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row>
    <row r="129" spans="1:14" s="106" customFormat="1" outlineLevel="1">
      <c r="A129" s="953" t="s">
        <v>219</v>
      </c>
      <c r="B129" s="953"/>
      <c r="C129" s="812" t="s">
        <v>220</v>
      </c>
      <c r="D129" s="812"/>
      <c r="E129" s="812"/>
      <c r="G129" s="97"/>
      <c r="I129" s="810"/>
      <c r="J129" s="810"/>
      <c r="K129" s="810"/>
      <c r="L129" s="810"/>
      <c r="M129" s="810"/>
      <c r="N129" s="810"/>
    </row>
    <row r="130" spans="1:14" s="106" customFormat="1" outlineLevel="1">
      <c r="A130" s="953" t="s">
        <v>221</v>
      </c>
      <c r="B130" s="953"/>
      <c r="C130" s="812" t="s">
        <v>222</v>
      </c>
      <c r="D130" s="812"/>
      <c r="E130" s="812"/>
      <c r="G130" s="97"/>
      <c r="I130" s="810"/>
      <c r="J130" s="810"/>
      <c r="K130" s="810"/>
      <c r="L130" s="810"/>
      <c r="M130" s="810"/>
      <c r="N130" s="810"/>
    </row>
    <row r="131" spans="1:14" s="106" customFormat="1" outlineLevel="1">
      <c r="A131" s="953" t="s">
        <v>223</v>
      </c>
      <c r="B131" s="953"/>
      <c r="C131" s="812" t="s">
        <v>224</v>
      </c>
      <c r="D131" s="812"/>
      <c r="E131" s="812"/>
      <c r="G131" s="97"/>
      <c r="I131" s="810"/>
      <c r="J131" s="810"/>
      <c r="K131" s="810"/>
      <c r="L131" s="810"/>
      <c r="M131" s="810"/>
      <c r="N131" s="810"/>
    </row>
    <row r="132" spans="1:14" s="106" customFormat="1" outlineLevel="1">
      <c r="A132" s="953" t="s">
        <v>225</v>
      </c>
      <c r="B132" s="953"/>
      <c r="C132" s="812" t="s">
        <v>116</v>
      </c>
      <c r="D132" s="812"/>
      <c r="E132" s="812"/>
      <c r="G132" s="97"/>
      <c r="I132" s="810"/>
      <c r="J132" s="810"/>
      <c r="K132" s="810"/>
      <c r="L132" s="810"/>
      <c r="M132" s="810"/>
      <c r="N132" s="810"/>
    </row>
    <row r="133" spans="1:14" s="106" customFormat="1" outlineLevel="1">
      <c r="A133" s="953" t="s">
        <v>226</v>
      </c>
      <c r="B133" s="953"/>
      <c r="C133" s="812" t="s">
        <v>227</v>
      </c>
      <c r="D133" s="812"/>
      <c r="E133" s="812"/>
      <c r="G133" s="97"/>
      <c r="I133" s="810"/>
      <c r="J133" s="810"/>
      <c r="K133" s="810"/>
      <c r="L133" s="810"/>
      <c r="M133" s="810"/>
      <c r="N133" s="810"/>
    </row>
    <row r="134" spans="1:14" s="106" customFormat="1" outlineLevel="1">
      <c r="A134" s="953" t="s">
        <v>228</v>
      </c>
      <c r="B134" s="953"/>
      <c r="C134" s="812" t="s">
        <v>227</v>
      </c>
      <c r="D134" s="812"/>
      <c r="E134" s="812"/>
      <c r="G134" s="97"/>
      <c r="I134" s="810"/>
      <c r="J134" s="810"/>
      <c r="K134" s="810"/>
      <c r="L134" s="810"/>
      <c r="M134" s="810"/>
      <c r="N134" s="810"/>
    </row>
    <row r="135" spans="1:14" s="106" customFormat="1" outlineLevel="1">
      <c r="A135" s="696"/>
      <c r="B135" s="696"/>
      <c r="C135" s="696"/>
      <c r="D135" s="696"/>
      <c r="E135" s="696"/>
      <c r="F135" s="696"/>
      <c r="G135" s="97"/>
      <c r="I135" s="810"/>
      <c r="J135" s="810"/>
      <c r="K135" s="810"/>
      <c r="L135" s="810"/>
      <c r="M135" s="810"/>
      <c r="N135" s="810"/>
    </row>
    <row r="136" spans="1:14" outlineLevel="1">
      <c r="A136" s="62" t="s">
        <v>229</v>
      </c>
      <c r="B136" s="111"/>
      <c r="C136" s="111"/>
      <c r="D136" s="111"/>
      <c r="E136" s="111"/>
      <c r="F136" s="106"/>
      <c r="G136" s="106"/>
      <c r="H136" s="106"/>
      <c r="I136" s="810"/>
      <c r="J136" s="810"/>
      <c r="K136" s="810"/>
      <c r="L136" s="810"/>
      <c r="M136" s="810"/>
      <c r="N136" s="810"/>
    </row>
    <row r="137" spans="1:14" outlineLevel="1">
      <c r="A137" s="111"/>
      <c r="B137" s="111"/>
      <c r="C137" s="111"/>
      <c r="D137" s="111"/>
      <c r="E137" s="111"/>
      <c r="F137" s="106"/>
      <c r="G137" s="106"/>
      <c r="H137" s="106"/>
      <c r="I137" s="106"/>
      <c r="J137" s="106"/>
      <c r="K137" s="106"/>
      <c r="L137" s="106"/>
      <c r="M137" s="106"/>
      <c r="N137" s="106"/>
    </row>
    <row r="138" spans="1:14" outlineLevel="1">
      <c r="A138" s="111" t="s">
        <v>230</v>
      </c>
      <c r="B138" s="111"/>
      <c r="C138" s="111"/>
      <c r="D138" s="111"/>
      <c r="E138" s="111"/>
      <c r="F138" s="106"/>
      <c r="G138" s="106"/>
      <c r="H138" s="106"/>
      <c r="I138" s="106"/>
      <c r="J138" s="106"/>
      <c r="K138" s="106"/>
      <c r="L138" s="106"/>
      <c r="M138" s="106"/>
      <c r="N138" s="106"/>
    </row>
    <row r="139" spans="1:14" outlineLevel="1">
      <c r="A139" s="813" t="s">
        <v>231</v>
      </c>
      <c r="B139" s="814"/>
      <c r="C139" s="814"/>
      <c r="D139" s="814"/>
      <c r="E139" s="814"/>
      <c r="F139" s="814"/>
      <c r="G139" s="815"/>
      <c r="H139" s="106"/>
      <c r="I139" s="106"/>
      <c r="J139" s="106"/>
      <c r="K139" s="106"/>
      <c r="L139" s="106"/>
      <c r="M139" s="106"/>
      <c r="N139" s="106"/>
    </row>
    <row r="140" spans="1:14" outlineLevel="1">
      <c r="A140" s="816"/>
      <c r="B140" s="817"/>
      <c r="C140" s="817"/>
      <c r="D140" s="817"/>
      <c r="E140" s="817"/>
      <c r="F140" s="817"/>
      <c r="G140" s="818"/>
      <c r="H140" s="106"/>
      <c r="I140" s="106"/>
      <c r="J140" s="106"/>
      <c r="K140" s="106"/>
      <c r="L140" s="106"/>
      <c r="M140" s="106"/>
      <c r="N140" s="106"/>
    </row>
    <row r="141" spans="1:14" outlineLevel="1">
      <c r="A141" s="816"/>
      <c r="B141" s="817"/>
      <c r="C141" s="817"/>
      <c r="D141" s="817"/>
      <c r="E141" s="817"/>
      <c r="F141" s="817"/>
      <c r="G141" s="818"/>
      <c r="H141" s="106"/>
      <c r="I141" s="106"/>
      <c r="J141" s="106"/>
      <c r="K141" s="106"/>
      <c r="L141" s="106"/>
      <c r="M141" s="106"/>
      <c r="N141" s="106"/>
    </row>
    <row r="142" spans="1:14" outlineLevel="1">
      <c r="A142" s="819"/>
      <c r="B142" s="820"/>
      <c r="C142" s="820"/>
      <c r="D142" s="820"/>
      <c r="E142" s="820"/>
      <c r="F142" s="820"/>
      <c r="G142" s="821"/>
      <c r="H142" s="106"/>
      <c r="I142" s="106"/>
      <c r="J142" s="106"/>
      <c r="K142" s="106"/>
      <c r="L142" s="106"/>
      <c r="M142" s="106"/>
      <c r="N142" s="106"/>
    </row>
    <row r="143" spans="1:14" s="111" customFormat="1" outlineLevel="1">
      <c r="A143" s="186"/>
      <c r="B143" s="186"/>
      <c r="C143" s="186"/>
      <c r="D143" s="186"/>
      <c r="E143" s="186"/>
      <c r="F143" s="186"/>
      <c r="G143" s="186"/>
    </row>
    <row r="144" spans="1:14" outlineLevel="1">
      <c r="A144" s="836" t="s">
        <v>216</v>
      </c>
      <c r="B144" s="811" t="str">
        <f>C127</f>
        <v>Electricity</v>
      </c>
      <c r="C144" s="61"/>
      <c r="D144" s="61"/>
      <c r="E144" s="61"/>
      <c r="F144" s="111"/>
      <c r="G144" s="799"/>
      <c r="H144" s="106"/>
      <c r="I144" s="106"/>
      <c r="J144" s="106"/>
      <c r="K144" s="106"/>
      <c r="L144" s="106"/>
      <c r="M144" s="106"/>
      <c r="N144" s="106"/>
    </row>
    <row r="145" spans="1:11" outlineLevel="1">
      <c r="A145" s="836"/>
      <c r="B145" s="811"/>
      <c r="C145" s="42"/>
      <c r="D145" s="42"/>
      <c r="E145" s="42"/>
      <c r="F145" s="45"/>
      <c r="G145" s="106"/>
      <c r="H145" s="106"/>
      <c r="I145" s="106"/>
      <c r="J145" s="106"/>
      <c r="K145" s="106"/>
    </row>
    <row r="146" spans="1:11" ht="14.45" customHeight="1" outlineLevel="2">
      <c r="A146" s="831" t="str">
        <f>"MAIN DATA FOR ANALYSIS - "&amp;$B$144</f>
        <v>MAIN DATA FOR ANALYSIS - Electricity</v>
      </c>
      <c r="B146" s="832"/>
      <c r="C146" s="832"/>
      <c r="D146" s="832"/>
      <c r="E146" s="832"/>
      <c r="F146" s="832"/>
      <c r="G146" s="832"/>
      <c r="H146" s="832"/>
      <c r="I146" s="832"/>
      <c r="J146" s="106"/>
      <c r="K146" s="106"/>
    </row>
    <row r="147" spans="1:11" ht="32.1" outlineLevel="2">
      <c r="A147" s="954" t="s">
        <v>232</v>
      </c>
      <c r="B147" s="954" t="s">
        <v>233</v>
      </c>
      <c r="C147" s="954" t="s">
        <v>234</v>
      </c>
      <c r="D147" s="954" t="str">
        <f>$B$144&amp;" Use ("&amp;$C$164&amp;")"</f>
        <v>Electricity Use (kWh)</v>
      </c>
      <c r="E147" s="954" t="str">
        <f>IF($B$144="Electricity","Electricity Peak (kW)","")</f>
        <v>Electricity Peak (kW)</v>
      </c>
      <c r="F147" s="954" t="str">
        <f>$B$144&amp;" Cost ($)"</f>
        <v>Electricity Cost ($)</v>
      </c>
      <c r="G147" s="954" t="str">
        <f>IF($B$144="Electricity","Peak Demand Cost ($)","")</f>
        <v>Peak Demand Cost ($)</v>
      </c>
      <c r="H147" s="955" t="str">
        <f>"Total "&amp;$B$144&amp;" Cost ($)"</f>
        <v>Total Electricity Cost ($)</v>
      </c>
      <c r="I147" s="954" t="str">
        <f>IF($B$144="Electricity","Electricity Load Factor","")</f>
        <v>Electricity Load Factor</v>
      </c>
      <c r="J147" s="106"/>
      <c r="K147" s="106"/>
    </row>
    <row r="148" spans="1:11" outlineLevel="2">
      <c r="A148" s="535">
        <v>43101</v>
      </c>
      <c r="B148" s="535">
        <f>A148+30</f>
        <v>43131</v>
      </c>
      <c r="C148" s="956">
        <f>B148-A148</f>
        <v>30</v>
      </c>
      <c r="D148" s="957">
        <v>3900000</v>
      </c>
      <c r="E148" s="957">
        <v>11700</v>
      </c>
      <c r="F148" s="958">
        <f>D148*0.1</f>
        <v>390000</v>
      </c>
      <c r="G148" s="958">
        <f>E148*10</f>
        <v>117000</v>
      </c>
      <c r="H148" s="349">
        <f>F148+G148</f>
        <v>507000</v>
      </c>
      <c r="I148" s="959">
        <f t="shared" ref="I148:I159" si="4">D148/(E148*24*C148)</f>
        <v>0.46296296296296297</v>
      </c>
      <c r="J148" s="106"/>
      <c r="K148" s="39"/>
    </row>
    <row r="149" spans="1:11" outlineLevel="2">
      <c r="A149" s="535">
        <f>B148+1</f>
        <v>43132</v>
      </c>
      <c r="B149" s="535">
        <f>A149+30</f>
        <v>43162</v>
      </c>
      <c r="C149" s="956">
        <f t="shared" ref="C149:C159" si="5">B149-A149+IF(A149=B148,0,1)</f>
        <v>31</v>
      </c>
      <c r="D149" s="957">
        <v>2600000</v>
      </c>
      <c r="E149" s="957">
        <v>10400</v>
      </c>
      <c r="F149" s="958">
        <f t="shared" ref="F149:F159" si="6">D149*0.1</f>
        <v>260000</v>
      </c>
      <c r="G149" s="958">
        <f t="shared" ref="G149:G159" si="7">E149*10</f>
        <v>104000</v>
      </c>
      <c r="H149" s="349">
        <f t="shared" ref="H149:H159" si="8">F149+G149</f>
        <v>364000</v>
      </c>
      <c r="I149" s="959">
        <f t="shared" si="4"/>
        <v>0.33602150537634407</v>
      </c>
      <c r="J149" s="106"/>
      <c r="K149" s="39"/>
    </row>
    <row r="150" spans="1:11" outlineLevel="2">
      <c r="A150" s="535">
        <f t="shared" ref="A150:A159" si="9">B149+1</f>
        <v>43163</v>
      </c>
      <c r="B150" s="535">
        <f t="shared" ref="B150:B158" si="10">A150+30</f>
        <v>43193</v>
      </c>
      <c r="C150" s="956">
        <f t="shared" si="5"/>
        <v>31</v>
      </c>
      <c r="D150" s="957">
        <v>2600000</v>
      </c>
      <c r="E150" s="957">
        <v>10400</v>
      </c>
      <c r="F150" s="958">
        <f t="shared" si="6"/>
        <v>260000</v>
      </c>
      <c r="G150" s="958">
        <f t="shared" si="7"/>
        <v>104000</v>
      </c>
      <c r="H150" s="349">
        <f t="shared" si="8"/>
        <v>364000</v>
      </c>
      <c r="I150" s="959">
        <f t="shared" si="4"/>
        <v>0.33602150537634407</v>
      </c>
      <c r="J150" s="106"/>
      <c r="K150" s="39"/>
    </row>
    <row r="151" spans="1:11" outlineLevel="2">
      <c r="A151" s="535">
        <f t="shared" si="9"/>
        <v>43194</v>
      </c>
      <c r="B151" s="535">
        <f t="shared" si="10"/>
        <v>43224</v>
      </c>
      <c r="C151" s="956">
        <f t="shared" si="5"/>
        <v>31</v>
      </c>
      <c r="D151" s="957">
        <v>1300000</v>
      </c>
      <c r="E151" s="957">
        <v>13000</v>
      </c>
      <c r="F151" s="958">
        <f t="shared" si="6"/>
        <v>130000</v>
      </c>
      <c r="G151" s="958">
        <f t="shared" si="7"/>
        <v>130000</v>
      </c>
      <c r="H151" s="349">
        <f t="shared" si="8"/>
        <v>260000</v>
      </c>
      <c r="I151" s="959">
        <f t="shared" si="4"/>
        <v>0.13440860215053763</v>
      </c>
      <c r="J151" s="106"/>
      <c r="K151" s="39"/>
    </row>
    <row r="152" spans="1:11" outlineLevel="2">
      <c r="A152" s="535">
        <f t="shared" si="9"/>
        <v>43225</v>
      </c>
      <c r="B152" s="535">
        <f t="shared" si="10"/>
        <v>43255</v>
      </c>
      <c r="C152" s="956">
        <f t="shared" si="5"/>
        <v>31</v>
      </c>
      <c r="D152" s="957">
        <v>2600000</v>
      </c>
      <c r="E152" s="957">
        <v>15600</v>
      </c>
      <c r="F152" s="958">
        <f t="shared" si="6"/>
        <v>260000</v>
      </c>
      <c r="G152" s="958">
        <f t="shared" si="7"/>
        <v>156000</v>
      </c>
      <c r="H152" s="349">
        <f t="shared" si="8"/>
        <v>416000</v>
      </c>
      <c r="I152" s="959">
        <f t="shared" si="4"/>
        <v>0.22401433691756273</v>
      </c>
      <c r="J152" s="106"/>
      <c r="K152" s="39"/>
    </row>
    <row r="153" spans="1:11" outlineLevel="2">
      <c r="A153" s="535">
        <f t="shared" si="9"/>
        <v>43256</v>
      </c>
      <c r="B153" s="535">
        <f t="shared" si="10"/>
        <v>43286</v>
      </c>
      <c r="C153" s="956">
        <f t="shared" si="5"/>
        <v>31</v>
      </c>
      <c r="D153" s="957">
        <v>5200000</v>
      </c>
      <c r="E153" s="957">
        <v>18200</v>
      </c>
      <c r="F153" s="958">
        <f t="shared" si="6"/>
        <v>520000</v>
      </c>
      <c r="G153" s="958">
        <f t="shared" si="7"/>
        <v>182000</v>
      </c>
      <c r="H153" s="349">
        <f t="shared" si="8"/>
        <v>702000</v>
      </c>
      <c r="I153" s="959">
        <f t="shared" si="4"/>
        <v>0.38402457757296465</v>
      </c>
      <c r="J153" s="106"/>
      <c r="K153" s="39"/>
    </row>
    <row r="154" spans="1:11" outlineLevel="2">
      <c r="A154" s="535">
        <f t="shared" si="9"/>
        <v>43287</v>
      </c>
      <c r="B154" s="535">
        <f t="shared" si="10"/>
        <v>43317</v>
      </c>
      <c r="C154" s="956">
        <f t="shared" si="5"/>
        <v>31</v>
      </c>
      <c r="D154" s="957">
        <v>7800000</v>
      </c>
      <c r="E154" s="957">
        <v>22100</v>
      </c>
      <c r="F154" s="958">
        <f t="shared" si="6"/>
        <v>780000</v>
      </c>
      <c r="G154" s="958">
        <f t="shared" si="7"/>
        <v>221000</v>
      </c>
      <c r="H154" s="349">
        <f t="shared" si="8"/>
        <v>1001000</v>
      </c>
      <c r="I154" s="959">
        <f t="shared" si="4"/>
        <v>0.47438330170777987</v>
      </c>
      <c r="J154" s="106"/>
      <c r="K154" s="39"/>
    </row>
    <row r="155" spans="1:11" outlineLevel="2">
      <c r="A155" s="535">
        <f t="shared" si="9"/>
        <v>43318</v>
      </c>
      <c r="B155" s="535">
        <f t="shared" si="10"/>
        <v>43348</v>
      </c>
      <c r="C155" s="956">
        <f t="shared" si="5"/>
        <v>31</v>
      </c>
      <c r="D155" s="957">
        <v>7800000</v>
      </c>
      <c r="E155" s="957">
        <v>22100</v>
      </c>
      <c r="F155" s="958">
        <f t="shared" si="6"/>
        <v>780000</v>
      </c>
      <c r="G155" s="958">
        <f t="shared" si="7"/>
        <v>221000</v>
      </c>
      <c r="H155" s="349">
        <f t="shared" si="8"/>
        <v>1001000</v>
      </c>
      <c r="I155" s="959">
        <f t="shared" si="4"/>
        <v>0.47438330170777987</v>
      </c>
      <c r="J155" s="106"/>
      <c r="K155" s="39"/>
    </row>
    <row r="156" spans="1:11" outlineLevel="2">
      <c r="A156" s="535">
        <f t="shared" si="9"/>
        <v>43349</v>
      </c>
      <c r="B156" s="535">
        <f t="shared" si="10"/>
        <v>43379</v>
      </c>
      <c r="C156" s="956">
        <f t="shared" si="5"/>
        <v>31</v>
      </c>
      <c r="D156" s="957">
        <v>5200000</v>
      </c>
      <c r="E156" s="957">
        <v>20800</v>
      </c>
      <c r="F156" s="958">
        <f t="shared" si="6"/>
        <v>520000</v>
      </c>
      <c r="G156" s="958">
        <f t="shared" si="7"/>
        <v>208000</v>
      </c>
      <c r="H156" s="349">
        <f t="shared" si="8"/>
        <v>728000</v>
      </c>
      <c r="I156" s="959">
        <f t="shared" si="4"/>
        <v>0.33602150537634407</v>
      </c>
      <c r="J156" s="106"/>
      <c r="K156" s="39"/>
    </row>
    <row r="157" spans="1:11" outlineLevel="2">
      <c r="A157" s="535">
        <f t="shared" si="9"/>
        <v>43380</v>
      </c>
      <c r="B157" s="535">
        <f t="shared" si="10"/>
        <v>43410</v>
      </c>
      <c r="C157" s="956">
        <f t="shared" si="5"/>
        <v>31</v>
      </c>
      <c r="D157" s="957">
        <v>2600000</v>
      </c>
      <c r="E157" s="957">
        <v>19500</v>
      </c>
      <c r="F157" s="958">
        <f t="shared" si="6"/>
        <v>260000</v>
      </c>
      <c r="G157" s="958">
        <f t="shared" si="7"/>
        <v>195000</v>
      </c>
      <c r="H157" s="349">
        <f t="shared" si="8"/>
        <v>455000</v>
      </c>
      <c r="I157" s="959">
        <f t="shared" si="4"/>
        <v>0.17921146953405018</v>
      </c>
      <c r="J157" s="106"/>
      <c r="K157" s="39"/>
    </row>
    <row r="158" spans="1:11" outlineLevel="2">
      <c r="A158" s="535">
        <f t="shared" si="9"/>
        <v>43411</v>
      </c>
      <c r="B158" s="535">
        <f t="shared" si="10"/>
        <v>43441</v>
      </c>
      <c r="C158" s="956">
        <f t="shared" si="5"/>
        <v>31</v>
      </c>
      <c r="D158" s="957">
        <v>2600000</v>
      </c>
      <c r="E158" s="957">
        <v>15600</v>
      </c>
      <c r="F158" s="958">
        <f t="shared" si="6"/>
        <v>260000</v>
      </c>
      <c r="G158" s="958">
        <f t="shared" si="7"/>
        <v>156000</v>
      </c>
      <c r="H158" s="349">
        <f t="shared" si="8"/>
        <v>416000</v>
      </c>
      <c r="I158" s="959">
        <f t="shared" si="4"/>
        <v>0.22401433691756273</v>
      </c>
      <c r="J158" s="106"/>
      <c r="K158" s="39"/>
    </row>
    <row r="159" spans="1:11" outlineLevel="2">
      <c r="A159" s="535">
        <f t="shared" si="9"/>
        <v>43442</v>
      </c>
      <c r="B159" s="535">
        <f>A159+24</f>
        <v>43466</v>
      </c>
      <c r="C159" s="956">
        <f t="shared" si="5"/>
        <v>25</v>
      </c>
      <c r="D159" s="957">
        <v>5200000</v>
      </c>
      <c r="E159" s="957">
        <v>13000</v>
      </c>
      <c r="F159" s="958">
        <f t="shared" si="6"/>
        <v>520000</v>
      </c>
      <c r="G159" s="958">
        <f t="shared" si="7"/>
        <v>130000</v>
      </c>
      <c r="H159" s="349">
        <f t="shared" si="8"/>
        <v>650000</v>
      </c>
      <c r="I159" s="959">
        <f t="shared" si="4"/>
        <v>0.66666666666666663</v>
      </c>
      <c r="J159" s="106"/>
      <c r="K159" s="39"/>
    </row>
    <row r="160" spans="1:11" outlineLevel="2">
      <c r="A160" s="960" t="s">
        <v>235</v>
      </c>
      <c r="B160" s="960"/>
      <c r="C160" s="956">
        <f>SUM(C148:C159)</f>
        <v>365</v>
      </c>
      <c r="D160" s="961">
        <f>SUM(D148:D159)</f>
        <v>49400000</v>
      </c>
      <c r="E160" s="961">
        <f>MAX(E148:E159)</f>
        <v>22100</v>
      </c>
      <c r="F160" s="962">
        <f>SUM(F148:F159)</f>
        <v>4940000</v>
      </c>
      <c r="G160" s="962">
        <f>SUM(G148:G159)</f>
        <v>1924000</v>
      </c>
      <c r="H160" s="962">
        <f>SUM(H148:H159)</f>
        <v>6864000</v>
      </c>
      <c r="I160" s="963"/>
      <c r="J160" s="106"/>
      <c r="K160" s="106"/>
    </row>
    <row r="161" spans="1:11" s="106" customFormat="1" ht="15" customHeight="1" outlineLevel="2">
      <c r="A161" s="63"/>
      <c r="B161" s="63"/>
      <c r="C161" s="64"/>
      <c r="D161" s="65"/>
      <c r="E161" s="66"/>
      <c r="F161" s="70"/>
      <c r="G161" s="71"/>
    </row>
    <row r="162" spans="1:11" outlineLevel="2">
      <c r="A162" s="63"/>
      <c r="B162" s="68"/>
      <c r="C162" s="301"/>
      <c r="D162" s="69"/>
      <c r="E162" s="373" t="s">
        <v>236</v>
      </c>
      <c r="F162" s="101"/>
      <c r="G162" s="84"/>
      <c r="H162" s="106"/>
      <c r="I162" s="106"/>
      <c r="J162" s="106"/>
      <c r="K162" s="106"/>
    </row>
    <row r="163" spans="1:11" s="106" customFormat="1" ht="15" customHeight="1" outlineLevel="2">
      <c r="A163" s="68"/>
      <c r="B163" s="964" t="s">
        <v>237</v>
      </c>
      <c r="C163" s="964"/>
      <c r="D163" s="69"/>
      <c r="E163" s="965" t="s">
        <v>238</v>
      </c>
      <c r="F163" s="966"/>
      <c r="H163" s="423"/>
      <c r="I163" s="423"/>
      <c r="J163" s="423"/>
      <c r="K163" s="423"/>
    </row>
    <row r="164" spans="1:11" s="106" customFormat="1" ht="15.95" outlineLevel="2">
      <c r="A164" s="68"/>
      <c r="B164" s="967" t="s">
        <v>239</v>
      </c>
      <c r="C164" s="968" t="str">
        <f>INDEX('Drop Down Lists'!$D$2:$D$11,MATCH('Building Info &amp; Assumptions'!B144,'Drop Down Lists'!$C$2:$C$11,0))</f>
        <v>kWh</v>
      </c>
      <c r="D164" s="69"/>
      <c r="E164" s="969" t="s">
        <v>240</v>
      </c>
      <c r="F164" s="970">
        <v>0.2</v>
      </c>
      <c r="H164" s="423"/>
      <c r="I164" s="423"/>
      <c r="J164" s="423"/>
      <c r="K164" s="423"/>
    </row>
    <row r="165" spans="1:11" ht="15.95" outlineLevel="2">
      <c r="A165" s="178"/>
      <c r="B165" s="971" t="s">
        <v>241</v>
      </c>
      <c r="C165" s="972">
        <v>3.4119999999999999</v>
      </c>
      <c r="D165" s="179"/>
      <c r="E165" s="969" t="s">
        <v>242</v>
      </c>
      <c r="F165" s="970">
        <v>0.1</v>
      </c>
      <c r="G165" s="106"/>
      <c r="H165" s="423"/>
      <c r="I165" s="423"/>
      <c r="J165" s="423"/>
      <c r="K165" s="423"/>
    </row>
    <row r="166" spans="1:11" ht="15.95" outlineLevel="2">
      <c r="A166" s="795"/>
      <c r="B166" s="971" t="s">
        <v>243</v>
      </c>
      <c r="C166" s="973">
        <f>IFERROR(H160/D160,0)</f>
        <v>0.13894736842105262</v>
      </c>
      <c r="D166" s="795"/>
      <c r="E166" s="103"/>
      <c r="F166" s="103"/>
      <c r="G166" s="106"/>
      <c r="H166" s="423"/>
      <c r="I166" s="423"/>
      <c r="J166" s="423"/>
      <c r="K166" s="423"/>
    </row>
    <row r="167" spans="1:11" s="106" customFormat="1" ht="15.95" outlineLevel="2">
      <c r="A167" s="795"/>
      <c r="B167" s="971" t="s">
        <v>244</v>
      </c>
      <c r="C167" s="974">
        <f>IFERROR(F160/D160,0)</f>
        <v>0.1</v>
      </c>
      <c r="D167" s="795"/>
      <c r="E167" s="975" t="s">
        <v>245</v>
      </c>
      <c r="F167" s="976">
        <v>0.2</v>
      </c>
      <c r="H167" s="423"/>
      <c r="I167" s="423"/>
      <c r="J167" s="423"/>
      <c r="K167" s="423"/>
    </row>
    <row r="168" spans="1:11" s="106" customFormat="1" ht="15.95" outlineLevel="2">
      <c r="A168" s="795"/>
      <c r="B168" s="971" t="s">
        <v>246</v>
      </c>
      <c r="C168" s="977">
        <f t="array" ref="C168">IFERROR(AVERAGE(G148:G159/E148:E159),0)</f>
        <v>10</v>
      </c>
      <c r="D168" s="795"/>
      <c r="E168" s="978" t="s">
        <v>247</v>
      </c>
      <c r="F168" s="979">
        <v>0.15</v>
      </c>
      <c r="G168" s="795"/>
      <c r="H168" s="423"/>
      <c r="I168" s="423"/>
      <c r="J168" s="423"/>
      <c r="K168" s="423"/>
    </row>
    <row r="169" spans="1:11" s="106" customFormat="1" ht="15.95" outlineLevel="2">
      <c r="A169" s="795"/>
      <c r="B169" s="193"/>
      <c r="C169" s="194"/>
      <c r="D169" s="795"/>
      <c r="E169" s="978" t="s">
        <v>248</v>
      </c>
      <c r="F169" s="979">
        <v>0.1</v>
      </c>
      <c r="G169" s="795"/>
    </row>
    <row r="170" spans="1:11" outlineLevel="1">
      <c r="A170" s="836" t="s">
        <v>217</v>
      </c>
      <c r="B170" s="811" t="str">
        <f>C128</f>
        <v>Natural Gas</v>
      </c>
      <c r="C170" s="106"/>
      <c r="D170" s="106"/>
      <c r="E170" s="106"/>
      <c r="F170" s="67"/>
      <c r="G170" s="84"/>
      <c r="H170" s="106"/>
      <c r="I170" s="106"/>
      <c r="J170" s="106"/>
      <c r="K170" s="106"/>
    </row>
    <row r="171" spans="1:11" outlineLevel="1">
      <c r="A171" s="836"/>
      <c r="B171" s="811"/>
      <c r="C171" s="106"/>
      <c r="D171" s="106"/>
      <c r="E171" s="106"/>
      <c r="F171" s="67"/>
      <c r="G171" s="84"/>
      <c r="H171" s="106"/>
      <c r="I171" s="106"/>
      <c r="J171" s="106"/>
      <c r="K171" s="106"/>
    </row>
    <row r="172" spans="1:11" ht="15.95" hidden="1" outlineLevel="2" thickBot="1">
      <c r="A172" s="822" t="str">
        <f>"MAIN DATA FOR ANALYSIS - "&amp;B170</f>
        <v>MAIN DATA FOR ANALYSIS - Natural Gas</v>
      </c>
      <c r="B172" s="822"/>
      <c r="C172" s="822"/>
      <c r="D172" s="822"/>
      <c r="E172" s="822"/>
      <c r="F172" s="67"/>
      <c r="G172" s="84"/>
      <c r="H172" s="106"/>
      <c r="I172" s="106"/>
      <c r="J172" s="106"/>
      <c r="K172" s="106"/>
    </row>
    <row r="173" spans="1:11" ht="15.95" hidden="1" outlineLevel="2">
      <c r="A173" s="222" t="s">
        <v>232</v>
      </c>
      <c r="B173" s="222" t="s">
        <v>233</v>
      </c>
      <c r="C173" s="222" t="s">
        <v>234</v>
      </c>
      <c r="D173" s="980" t="str">
        <f>$B$170&amp;" Use ("&amp;$C$189&amp;")"</f>
        <v>Natural Gas Use (therms)</v>
      </c>
      <c r="E173" s="222" t="str">
        <f>$B$170&amp;" Cost ($)"</f>
        <v>Natural Gas Cost ($)</v>
      </c>
      <c r="F173" s="67"/>
      <c r="G173" s="84"/>
      <c r="H173" s="106"/>
      <c r="I173" s="106"/>
      <c r="J173" s="106"/>
      <c r="K173" s="106"/>
    </row>
    <row r="174" spans="1:11" hidden="1" outlineLevel="2">
      <c r="A174" s="535"/>
      <c r="B174" s="535"/>
      <c r="C174" s="956">
        <f>B174-A174</f>
        <v>0</v>
      </c>
      <c r="D174" s="981"/>
      <c r="E174" s="982"/>
      <c r="F174" s="67"/>
      <c r="G174" s="123"/>
      <c r="H174" s="106"/>
      <c r="I174" s="106"/>
      <c r="J174" s="106"/>
      <c r="K174" s="106"/>
    </row>
    <row r="175" spans="1:11" hidden="1" outlineLevel="2">
      <c r="A175" s="535"/>
      <c r="B175" s="535"/>
      <c r="C175" s="956">
        <f t="shared" ref="C175:C185" si="11">B175-A175+IF(A175=B174,0,1)</f>
        <v>0</v>
      </c>
      <c r="D175" s="981"/>
      <c r="E175" s="982"/>
      <c r="F175" s="67"/>
      <c r="G175" s="123"/>
      <c r="H175" s="106"/>
      <c r="I175" s="106"/>
      <c r="J175" s="106"/>
      <c r="K175" s="106"/>
    </row>
    <row r="176" spans="1:11" hidden="1" outlineLevel="2">
      <c r="A176" s="535"/>
      <c r="B176" s="535"/>
      <c r="C176" s="956">
        <f t="shared" si="11"/>
        <v>0</v>
      </c>
      <c r="D176" s="981"/>
      <c r="E176" s="982"/>
      <c r="F176" s="67"/>
      <c r="G176" s="123"/>
      <c r="H176" s="106"/>
      <c r="I176" s="106"/>
      <c r="J176" s="106"/>
      <c r="K176" s="106"/>
    </row>
    <row r="177" spans="1:7" hidden="1" outlineLevel="2">
      <c r="A177" s="535"/>
      <c r="B177" s="535"/>
      <c r="C177" s="956">
        <f t="shared" si="11"/>
        <v>0</v>
      </c>
      <c r="D177" s="981"/>
      <c r="E177" s="982"/>
      <c r="F177" s="67"/>
      <c r="G177" s="123"/>
    </row>
    <row r="178" spans="1:7" hidden="1" outlineLevel="2">
      <c r="A178" s="535"/>
      <c r="B178" s="535"/>
      <c r="C178" s="956">
        <f t="shared" si="11"/>
        <v>0</v>
      </c>
      <c r="D178" s="981"/>
      <c r="E178" s="982"/>
      <c r="F178" s="67"/>
      <c r="G178" s="123"/>
    </row>
    <row r="179" spans="1:7" hidden="1" outlineLevel="2">
      <c r="A179" s="535"/>
      <c r="B179" s="535"/>
      <c r="C179" s="956">
        <f t="shared" si="11"/>
        <v>0</v>
      </c>
      <c r="D179" s="981"/>
      <c r="E179" s="982"/>
      <c r="F179" s="67"/>
      <c r="G179" s="123"/>
    </row>
    <row r="180" spans="1:7" hidden="1" outlineLevel="2">
      <c r="A180" s="535"/>
      <c r="B180" s="535"/>
      <c r="C180" s="956">
        <f t="shared" si="11"/>
        <v>0</v>
      </c>
      <c r="D180" s="981"/>
      <c r="E180" s="982"/>
      <c r="F180" s="67"/>
      <c r="G180" s="123"/>
    </row>
    <row r="181" spans="1:7" hidden="1" outlineLevel="2">
      <c r="A181" s="535"/>
      <c r="B181" s="535"/>
      <c r="C181" s="956">
        <f t="shared" si="11"/>
        <v>0</v>
      </c>
      <c r="D181" s="981"/>
      <c r="E181" s="982"/>
      <c r="F181" s="67"/>
      <c r="G181" s="123"/>
    </row>
    <row r="182" spans="1:7" hidden="1" outlineLevel="2">
      <c r="A182" s="535"/>
      <c r="B182" s="535"/>
      <c r="C182" s="956">
        <f t="shared" si="11"/>
        <v>0</v>
      </c>
      <c r="D182" s="981"/>
      <c r="E182" s="982"/>
      <c r="F182" s="181"/>
      <c r="G182" s="123"/>
    </row>
    <row r="183" spans="1:7" hidden="1" outlineLevel="2">
      <c r="A183" s="535"/>
      <c r="B183" s="535"/>
      <c r="C183" s="956">
        <f t="shared" si="11"/>
        <v>0</v>
      </c>
      <c r="D183" s="981"/>
      <c r="E183" s="982"/>
      <c r="F183" s="101"/>
      <c r="G183" s="123"/>
    </row>
    <row r="184" spans="1:7" hidden="1" outlineLevel="2">
      <c r="A184" s="535"/>
      <c r="B184" s="535"/>
      <c r="C184" s="956">
        <f t="shared" si="11"/>
        <v>0</v>
      </c>
      <c r="D184" s="981"/>
      <c r="E184" s="983"/>
      <c r="F184" s="180"/>
      <c r="G184" s="123"/>
    </row>
    <row r="185" spans="1:7" hidden="1" outlineLevel="2">
      <c r="A185" s="535"/>
      <c r="B185" s="535"/>
      <c r="C185" s="956">
        <f t="shared" si="11"/>
        <v>0</v>
      </c>
      <c r="D185" s="981"/>
      <c r="E185" s="984"/>
      <c r="F185" s="795"/>
      <c r="G185" s="123"/>
    </row>
    <row r="186" spans="1:7" hidden="1" outlineLevel="2">
      <c r="A186" s="985" t="s">
        <v>235</v>
      </c>
      <c r="B186" s="985"/>
      <c r="C186" s="956">
        <f>SUM(C174:C185)</f>
        <v>0</v>
      </c>
      <c r="D186" s="961">
        <f>SUM(D174:D185)</f>
        <v>0</v>
      </c>
      <c r="E186" s="986">
        <f>SUM(E174:E185)</f>
        <v>0</v>
      </c>
      <c r="F186" s="67"/>
      <c r="G186" s="84"/>
    </row>
    <row r="187" spans="1:7" s="106" customFormat="1" hidden="1" outlineLevel="2">
      <c r="A187" s="223"/>
      <c r="B187" s="223"/>
      <c r="C187" s="100"/>
      <c r="D187" s="350"/>
      <c r="E187" s="181"/>
      <c r="F187" s="67"/>
      <c r="G187" s="84"/>
    </row>
    <row r="188" spans="1:7" hidden="1" outlineLevel="2">
      <c r="A188" s="106"/>
      <c r="B188" s="855" t="s">
        <v>249</v>
      </c>
      <c r="C188" s="855"/>
      <c r="D188" s="106"/>
      <c r="E188" s="106"/>
      <c r="F188" s="106"/>
      <c r="G188" s="106"/>
    </row>
    <row r="189" spans="1:7" ht="15.95" hidden="1" outlineLevel="2">
      <c r="A189" s="106"/>
      <c r="B189" s="967" t="s">
        <v>239</v>
      </c>
      <c r="C189" s="987" t="str">
        <f>INDEX('Drop Down Lists'!$D$2:$D$11,MATCH('Building Info &amp; Assumptions'!B170,'Drop Down Lists'!$C$2:$C$11,0))</f>
        <v>therms</v>
      </c>
      <c r="D189" s="106"/>
      <c r="E189" s="106"/>
      <c r="F189" s="106"/>
      <c r="G189" s="106"/>
    </row>
    <row r="190" spans="1:7" ht="15.95" hidden="1" outlineLevel="2">
      <c r="A190" s="106"/>
      <c r="B190" s="792" t="s">
        <v>241</v>
      </c>
      <c r="C190" s="988">
        <f>INDEX(EnergyConversionRates,MATCH('Building Info &amp; Assumptions'!C189,EnergyUnits,0))</f>
        <v>100</v>
      </c>
      <c r="D190" s="106"/>
      <c r="E190" s="106"/>
      <c r="F190" s="106"/>
      <c r="G190" s="106"/>
    </row>
    <row r="191" spans="1:7" ht="15.95" hidden="1" outlineLevel="2">
      <c r="A191" s="106"/>
      <c r="B191" s="971" t="s">
        <v>250</v>
      </c>
      <c r="C191" s="793">
        <f>IFERROR(E186/D186,0)</f>
        <v>0</v>
      </c>
      <c r="D191" s="106"/>
      <c r="E191" s="106"/>
      <c r="F191" s="106"/>
      <c r="G191" s="106"/>
    </row>
    <row r="192" spans="1:7" s="106" customFormat="1" hidden="1" outlineLevel="2">
      <c r="B192" s="193"/>
      <c r="C192" s="514"/>
    </row>
    <row r="193" spans="1:7" s="106" customFormat="1" outlineLevel="1" collapsed="1">
      <c r="A193" s="836" t="s">
        <v>219</v>
      </c>
      <c r="B193" s="811" t="str">
        <f>C129</f>
        <v>Purchased Steam</v>
      </c>
      <c r="G193" s="515"/>
    </row>
    <row r="194" spans="1:7" s="106" customFormat="1" ht="15.95" outlineLevel="1" thickBot="1">
      <c r="A194" s="836"/>
      <c r="B194" s="811"/>
      <c r="G194" s="515"/>
    </row>
    <row r="195" spans="1:7" s="106" customFormat="1" ht="15.95" outlineLevel="2" thickBot="1">
      <c r="A195" s="822" t="str">
        <f>"MAIN DATA FOR ANALYSIS - "&amp;B193</f>
        <v>MAIN DATA FOR ANALYSIS - Purchased Steam</v>
      </c>
      <c r="B195" s="822"/>
      <c r="C195" s="822"/>
      <c r="D195" s="822"/>
      <c r="E195" s="822"/>
      <c r="G195" s="515"/>
    </row>
    <row r="196" spans="1:7" s="106" customFormat="1" ht="32.1" outlineLevel="2">
      <c r="A196" s="222" t="s">
        <v>232</v>
      </c>
      <c r="B196" s="222" t="s">
        <v>233</v>
      </c>
      <c r="C196" s="222" t="s">
        <v>234</v>
      </c>
      <c r="D196" s="980" t="str">
        <f>$B$193&amp;" Use ("&amp;$C$213&amp;")"</f>
        <v>Purchased Steam Use (lbs District Steam)</v>
      </c>
      <c r="E196" s="222" t="str">
        <f>$B$193&amp;" Cost ($)"</f>
        <v>Purchased Steam Cost ($)</v>
      </c>
      <c r="G196" s="515"/>
    </row>
    <row r="197" spans="1:7" s="106" customFormat="1" outlineLevel="2">
      <c r="A197" s="535">
        <v>43101</v>
      </c>
      <c r="B197" s="535">
        <f>A197+30</f>
        <v>43131</v>
      </c>
      <c r="C197" s="956">
        <f>B197-A197</f>
        <v>30</v>
      </c>
      <c r="D197" s="989">
        <v>15600000</v>
      </c>
      <c r="E197" s="570">
        <f>D197*0.04</f>
        <v>624000</v>
      </c>
      <c r="G197" s="515"/>
    </row>
    <row r="198" spans="1:7" s="106" customFormat="1" outlineLevel="2">
      <c r="A198" s="535">
        <f>B197+1</f>
        <v>43132</v>
      </c>
      <c r="B198" s="535">
        <f>A198+30</f>
        <v>43162</v>
      </c>
      <c r="C198" s="956">
        <f t="shared" ref="C198:C208" si="12">B198-A198+IF(A198=B197,0,1)</f>
        <v>31</v>
      </c>
      <c r="D198" s="989">
        <v>13000000</v>
      </c>
      <c r="E198" s="570">
        <f t="shared" ref="E198:E208" si="13">D198*0.04</f>
        <v>520000</v>
      </c>
      <c r="G198" s="515"/>
    </row>
    <row r="199" spans="1:7" s="106" customFormat="1" outlineLevel="2">
      <c r="A199" s="535">
        <f t="shared" ref="A199:A208" si="14">B198+1</f>
        <v>43163</v>
      </c>
      <c r="B199" s="535">
        <f t="shared" ref="B199:B207" si="15">A199+30</f>
        <v>43193</v>
      </c>
      <c r="C199" s="956">
        <f t="shared" si="12"/>
        <v>31</v>
      </c>
      <c r="D199" s="989">
        <v>10400000</v>
      </c>
      <c r="E199" s="570">
        <f t="shared" si="13"/>
        <v>416000</v>
      </c>
      <c r="G199" s="515"/>
    </row>
    <row r="200" spans="1:7" s="106" customFormat="1" outlineLevel="2">
      <c r="A200" s="535">
        <f t="shared" si="14"/>
        <v>43194</v>
      </c>
      <c r="B200" s="535">
        <f t="shared" si="15"/>
        <v>43224</v>
      </c>
      <c r="C200" s="956">
        <f t="shared" si="12"/>
        <v>31</v>
      </c>
      <c r="D200" s="989">
        <v>7800000</v>
      </c>
      <c r="E200" s="570">
        <f t="shared" si="13"/>
        <v>312000</v>
      </c>
      <c r="G200" s="515"/>
    </row>
    <row r="201" spans="1:7" s="106" customFormat="1" outlineLevel="2">
      <c r="A201" s="535">
        <f t="shared" si="14"/>
        <v>43225</v>
      </c>
      <c r="B201" s="535">
        <f t="shared" si="15"/>
        <v>43255</v>
      </c>
      <c r="C201" s="956">
        <f t="shared" si="12"/>
        <v>31</v>
      </c>
      <c r="D201" s="989">
        <v>2600000</v>
      </c>
      <c r="E201" s="570">
        <f t="shared" si="13"/>
        <v>104000</v>
      </c>
      <c r="G201" s="515"/>
    </row>
    <row r="202" spans="1:7" s="106" customFormat="1" outlineLevel="2">
      <c r="A202" s="535">
        <f t="shared" si="14"/>
        <v>43256</v>
      </c>
      <c r="B202" s="535">
        <f t="shared" si="15"/>
        <v>43286</v>
      </c>
      <c r="C202" s="956">
        <f t="shared" si="12"/>
        <v>31</v>
      </c>
      <c r="D202" s="989">
        <v>2600000</v>
      </c>
      <c r="E202" s="570">
        <f t="shared" si="13"/>
        <v>104000</v>
      </c>
      <c r="G202" s="515"/>
    </row>
    <row r="203" spans="1:7" s="106" customFormat="1" outlineLevel="2">
      <c r="A203" s="535">
        <f t="shared" si="14"/>
        <v>43287</v>
      </c>
      <c r="B203" s="535">
        <f t="shared" si="15"/>
        <v>43317</v>
      </c>
      <c r="C203" s="956">
        <f t="shared" si="12"/>
        <v>31</v>
      </c>
      <c r="D203" s="989">
        <v>2600000</v>
      </c>
      <c r="E203" s="570">
        <f t="shared" si="13"/>
        <v>104000</v>
      </c>
      <c r="G203" s="515"/>
    </row>
    <row r="204" spans="1:7" s="106" customFormat="1" outlineLevel="2">
      <c r="A204" s="535">
        <f t="shared" si="14"/>
        <v>43318</v>
      </c>
      <c r="B204" s="535">
        <f t="shared" si="15"/>
        <v>43348</v>
      </c>
      <c r="C204" s="956">
        <f t="shared" si="12"/>
        <v>31</v>
      </c>
      <c r="D204" s="989">
        <v>2600000</v>
      </c>
      <c r="E204" s="570">
        <f t="shared" si="13"/>
        <v>104000</v>
      </c>
      <c r="G204" s="515"/>
    </row>
    <row r="205" spans="1:7" s="106" customFormat="1" outlineLevel="2">
      <c r="A205" s="535">
        <f t="shared" si="14"/>
        <v>43349</v>
      </c>
      <c r="B205" s="535">
        <f t="shared" si="15"/>
        <v>43379</v>
      </c>
      <c r="C205" s="956">
        <f t="shared" si="12"/>
        <v>31</v>
      </c>
      <c r="D205" s="989">
        <v>2600000</v>
      </c>
      <c r="E205" s="570">
        <f t="shared" si="13"/>
        <v>104000</v>
      </c>
      <c r="G205" s="515"/>
    </row>
    <row r="206" spans="1:7" s="106" customFormat="1" outlineLevel="2">
      <c r="A206" s="535">
        <f t="shared" si="14"/>
        <v>43380</v>
      </c>
      <c r="B206" s="535">
        <f t="shared" si="15"/>
        <v>43410</v>
      </c>
      <c r="C206" s="956">
        <f t="shared" si="12"/>
        <v>31</v>
      </c>
      <c r="D206" s="989">
        <v>7800000</v>
      </c>
      <c r="E206" s="570">
        <f t="shared" si="13"/>
        <v>312000</v>
      </c>
      <c r="G206" s="515"/>
    </row>
    <row r="207" spans="1:7" s="106" customFormat="1" outlineLevel="2">
      <c r="A207" s="535">
        <f t="shared" si="14"/>
        <v>43411</v>
      </c>
      <c r="B207" s="535">
        <f t="shared" si="15"/>
        <v>43441</v>
      </c>
      <c r="C207" s="956">
        <f t="shared" si="12"/>
        <v>31</v>
      </c>
      <c r="D207" s="989">
        <v>10400000</v>
      </c>
      <c r="E207" s="570">
        <f t="shared" si="13"/>
        <v>416000</v>
      </c>
      <c r="G207" s="515"/>
    </row>
    <row r="208" spans="1:7" s="106" customFormat="1" outlineLevel="2">
      <c r="A208" s="535">
        <f t="shared" si="14"/>
        <v>43442</v>
      </c>
      <c r="B208" s="535">
        <f>A208+24</f>
        <v>43466</v>
      </c>
      <c r="C208" s="956">
        <f t="shared" si="12"/>
        <v>25</v>
      </c>
      <c r="D208" s="989">
        <v>13000000</v>
      </c>
      <c r="E208" s="570">
        <f t="shared" si="13"/>
        <v>520000</v>
      </c>
      <c r="G208" s="515"/>
    </row>
    <row r="209" spans="1:7" s="106" customFormat="1" outlineLevel="2">
      <c r="A209" s="985" t="s">
        <v>235</v>
      </c>
      <c r="B209" s="985"/>
      <c r="C209" s="956">
        <f>SUM(C197:C208)</f>
        <v>365</v>
      </c>
      <c r="D209" s="961">
        <f>SUM(D197:D208)</f>
        <v>91000000</v>
      </c>
      <c r="E209" s="986">
        <f>SUM(E197:E208)</f>
        <v>3640000</v>
      </c>
      <c r="G209" s="515"/>
    </row>
    <row r="210" spans="1:7" s="106" customFormat="1" outlineLevel="2">
      <c r="A210" s="223"/>
      <c r="B210" s="223"/>
      <c r="C210" s="100"/>
      <c r="D210" s="350"/>
      <c r="E210" s="181"/>
      <c r="G210" s="515"/>
    </row>
    <row r="211" spans="1:7" s="106" customFormat="1" outlineLevel="2">
      <c r="G211" s="515"/>
    </row>
    <row r="212" spans="1:7" s="106" customFormat="1" outlineLevel="2">
      <c r="B212" s="855" t="s">
        <v>251</v>
      </c>
      <c r="C212" s="855"/>
      <c r="G212" s="515"/>
    </row>
    <row r="213" spans="1:7" s="106" customFormat="1" ht="15.95" outlineLevel="2">
      <c r="B213" s="967" t="s">
        <v>239</v>
      </c>
      <c r="C213" s="987" t="str">
        <f>INDEX('Drop Down Lists'!$D$2:$D$11,MATCH('Building Info &amp; Assumptions'!B193,'Drop Down Lists'!$C$2:$C$11,0))</f>
        <v>lbs District Steam</v>
      </c>
      <c r="G213" s="515"/>
    </row>
    <row r="214" spans="1:7" s="106" customFormat="1" ht="15.95" outlineLevel="2">
      <c r="B214" s="971" t="s">
        <v>241</v>
      </c>
      <c r="C214" s="792">
        <f>INDEX(EnergyConversionRates,MATCH('Building Info &amp; Assumptions'!C213,EnergyUnits,0))</f>
        <v>1.194</v>
      </c>
      <c r="G214" s="515"/>
    </row>
    <row r="215" spans="1:7" s="106" customFormat="1" ht="15.95" outlineLevel="2">
      <c r="B215" s="971" t="s">
        <v>252</v>
      </c>
      <c r="C215" s="990">
        <f>IFERROR(E209/D209,0)</f>
        <v>0.04</v>
      </c>
      <c r="G215" s="515"/>
    </row>
    <row r="216" spans="1:7" s="106" customFormat="1" outlineLevel="2">
      <c r="B216" s="193"/>
      <c r="C216" s="514"/>
      <c r="G216" s="515"/>
    </row>
    <row r="217" spans="1:7" s="106" customFormat="1" outlineLevel="1">
      <c r="A217" s="836" t="str">
        <f>A130</f>
        <v>Utility #4</v>
      </c>
      <c r="B217" s="836" t="str">
        <f>C130</f>
        <v>Purchased Chilled Water</v>
      </c>
      <c r="G217" s="515"/>
    </row>
    <row r="218" spans="1:7" s="106" customFormat="1" outlineLevel="1">
      <c r="A218" s="836"/>
      <c r="B218" s="836"/>
      <c r="G218" s="515"/>
    </row>
    <row r="219" spans="1:7" s="106" customFormat="1" ht="15.95" hidden="1" outlineLevel="2" thickBot="1">
      <c r="A219" s="822" t="str">
        <f>"MAIN DATA FOR ANALYSIS - "&amp;B217</f>
        <v>MAIN DATA FOR ANALYSIS - Purchased Chilled Water</v>
      </c>
      <c r="B219" s="822"/>
      <c r="C219" s="822"/>
      <c r="D219" s="822"/>
      <c r="E219" s="822"/>
      <c r="G219" s="515"/>
    </row>
    <row r="220" spans="1:7" s="106" customFormat="1" ht="32.1" hidden="1" outlineLevel="2">
      <c r="A220" s="222" t="s">
        <v>232</v>
      </c>
      <c r="B220" s="222" t="s">
        <v>233</v>
      </c>
      <c r="C220" s="222" t="s">
        <v>234</v>
      </c>
      <c r="D220" s="980" t="str">
        <f>$B$217&amp;" Use ("&amp;$C$237&amp;")"</f>
        <v>Purchased Chilled Water Use (MMBtu)</v>
      </c>
      <c r="E220" s="222" t="str">
        <f>$B$217&amp;" Cost ($)"</f>
        <v>Purchased Chilled Water Cost ($)</v>
      </c>
      <c r="G220" s="515"/>
    </row>
    <row r="221" spans="1:7" s="106" customFormat="1" hidden="1" outlineLevel="2">
      <c r="A221" s="535">
        <v>43101</v>
      </c>
      <c r="B221" s="535">
        <f>A221+30</f>
        <v>43131</v>
      </c>
      <c r="C221" s="956">
        <f>B221-A221</f>
        <v>30</v>
      </c>
      <c r="D221" s="535"/>
      <c r="E221" s="535"/>
      <c r="G221" s="515"/>
    </row>
    <row r="222" spans="1:7" s="106" customFormat="1" hidden="1" outlineLevel="2">
      <c r="A222" s="535">
        <f>B221+1</f>
        <v>43132</v>
      </c>
      <c r="B222" s="535">
        <f>A222+30</f>
        <v>43162</v>
      </c>
      <c r="C222" s="956">
        <f t="shared" ref="C222:C232" si="16">B222-A222+IF(A222=B221,0,1)</f>
        <v>31</v>
      </c>
      <c r="D222" s="535"/>
      <c r="E222" s="535"/>
      <c r="G222" s="515"/>
    </row>
    <row r="223" spans="1:7" s="106" customFormat="1" hidden="1" outlineLevel="2">
      <c r="A223" s="535">
        <f t="shared" ref="A223:A232" si="17">B222+1</f>
        <v>43163</v>
      </c>
      <c r="B223" s="535">
        <f t="shared" ref="B223:B231" si="18">A223+30</f>
        <v>43193</v>
      </c>
      <c r="C223" s="956">
        <f t="shared" si="16"/>
        <v>31</v>
      </c>
      <c r="D223" s="535"/>
      <c r="E223" s="535"/>
      <c r="G223" s="515"/>
    </row>
    <row r="224" spans="1:7" s="106" customFormat="1" hidden="1" outlineLevel="2">
      <c r="A224" s="535">
        <f t="shared" si="17"/>
        <v>43194</v>
      </c>
      <c r="B224" s="535">
        <f t="shared" si="18"/>
        <v>43224</v>
      </c>
      <c r="C224" s="956">
        <f t="shared" si="16"/>
        <v>31</v>
      </c>
      <c r="D224" s="535"/>
      <c r="E224" s="535"/>
      <c r="G224" s="515"/>
    </row>
    <row r="225" spans="1:7" s="106" customFormat="1" hidden="1" outlineLevel="2">
      <c r="A225" s="535">
        <f t="shared" si="17"/>
        <v>43225</v>
      </c>
      <c r="B225" s="535">
        <f t="shared" si="18"/>
        <v>43255</v>
      </c>
      <c r="C225" s="956">
        <f t="shared" si="16"/>
        <v>31</v>
      </c>
      <c r="D225" s="535"/>
      <c r="E225" s="535"/>
      <c r="G225" s="515"/>
    </row>
    <row r="226" spans="1:7" s="106" customFormat="1" hidden="1" outlineLevel="2">
      <c r="A226" s="535">
        <f t="shared" si="17"/>
        <v>43256</v>
      </c>
      <c r="B226" s="535">
        <f t="shared" si="18"/>
        <v>43286</v>
      </c>
      <c r="C226" s="956">
        <f t="shared" si="16"/>
        <v>31</v>
      </c>
      <c r="D226" s="535"/>
      <c r="E226" s="535"/>
      <c r="G226" s="515"/>
    </row>
    <row r="227" spans="1:7" s="106" customFormat="1" hidden="1" outlineLevel="2">
      <c r="A227" s="535">
        <f t="shared" si="17"/>
        <v>43287</v>
      </c>
      <c r="B227" s="535">
        <f t="shared" si="18"/>
        <v>43317</v>
      </c>
      <c r="C227" s="956">
        <f t="shared" si="16"/>
        <v>31</v>
      </c>
      <c r="D227" s="535"/>
      <c r="E227" s="535"/>
      <c r="G227" s="515"/>
    </row>
    <row r="228" spans="1:7" s="106" customFormat="1" hidden="1" outlineLevel="2">
      <c r="A228" s="535">
        <f t="shared" si="17"/>
        <v>43318</v>
      </c>
      <c r="B228" s="535">
        <f t="shared" si="18"/>
        <v>43348</v>
      </c>
      <c r="C228" s="956">
        <f t="shared" si="16"/>
        <v>31</v>
      </c>
      <c r="D228" s="535"/>
      <c r="E228" s="535"/>
      <c r="G228" s="515"/>
    </row>
    <row r="229" spans="1:7" s="106" customFormat="1" hidden="1" outlineLevel="2">
      <c r="A229" s="535">
        <f t="shared" si="17"/>
        <v>43349</v>
      </c>
      <c r="B229" s="535">
        <f t="shared" si="18"/>
        <v>43379</v>
      </c>
      <c r="C229" s="956">
        <f t="shared" si="16"/>
        <v>31</v>
      </c>
      <c r="D229" s="535"/>
      <c r="E229" s="535"/>
      <c r="G229" s="515"/>
    </row>
    <row r="230" spans="1:7" s="106" customFormat="1" hidden="1" outlineLevel="2">
      <c r="A230" s="535">
        <f t="shared" si="17"/>
        <v>43380</v>
      </c>
      <c r="B230" s="535">
        <f t="shared" si="18"/>
        <v>43410</v>
      </c>
      <c r="C230" s="956">
        <f t="shared" si="16"/>
        <v>31</v>
      </c>
      <c r="D230" s="535"/>
      <c r="E230" s="535"/>
      <c r="G230" s="515"/>
    </row>
    <row r="231" spans="1:7" s="106" customFormat="1" hidden="1" outlineLevel="2">
      <c r="A231" s="535">
        <f t="shared" si="17"/>
        <v>43411</v>
      </c>
      <c r="B231" s="535">
        <f t="shared" si="18"/>
        <v>43441</v>
      </c>
      <c r="C231" s="956">
        <f t="shared" si="16"/>
        <v>31</v>
      </c>
      <c r="D231" s="535"/>
      <c r="E231" s="535"/>
      <c r="G231" s="515"/>
    </row>
    <row r="232" spans="1:7" s="106" customFormat="1" hidden="1" outlineLevel="2">
      <c r="A232" s="535">
        <f t="shared" si="17"/>
        <v>43442</v>
      </c>
      <c r="B232" s="535">
        <f>A232+24</f>
        <v>43466</v>
      </c>
      <c r="C232" s="956">
        <f t="shared" si="16"/>
        <v>25</v>
      </c>
      <c r="D232" s="535"/>
      <c r="E232" s="535"/>
      <c r="G232" s="515"/>
    </row>
    <row r="233" spans="1:7" s="106" customFormat="1" hidden="1" outlineLevel="2">
      <c r="A233" s="985" t="s">
        <v>235</v>
      </c>
      <c r="B233" s="985"/>
      <c r="C233" s="956">
        <f>SUM(C221:C232)</f>
        <v>365</v>
      </c>
      <c r="D233" s="961">
        <f>SUM(D221:D232)</f>
        <v>0</v>
      </c>
      <c r="E233" s="986">
        <f>SUM(E221:E232)</f>
        <v>0</v>
      </c>
      <c r="G233" s="515"/>
    </row>
    <row r="234" spans="1:7" s="106" customFormat="1" hidden="1" outlineLevel="2">
      <c r="A234" s="223"/>
      <c r="B234" s="223"/>
      <c r="C234" s="100"/>
      <c r="D234" s="350"/>
      <c r="E234" s="181"/>
      <c r="G234" s="515"/>
    </row>
    <row r="235" spans="1:7" s="106" customFormat="1" hidden="1" outlineLevel="2">
      <c r="G235" s="515"/>
    </row>
    <row r="236" spans="1:7" s="106" customFormat="1" hidden="1" outlineLevel="2">
      <c r="B236" s="855" t="str">
        <f>A217&amp;": Definition"</f>
        <v>Utility #4: Definition</v>
      </c>
      <c r="C236" s="855"/>
      <c r="G236" s="515"/>
    </row>
    <row r="237" spans="1:7" s="106" customFormat="1" ht="29.1" hidden="1" customHeight="1" outlineLevel="2">
      <c r="B237" s="967" t="s">
        <v>239</v>
      </c>
      <c r="C237" s="987" t="str">
        <f>INDEX('Drop Down Lists'!$D$2:$D$11,MATCH('Building Info &amp; Assumptions'!B217,'Drop Down Lists'!$C$2:$C$11,0))</f>
        <v>MMBtu</v>
      </c>
      <c r="G237" s="515"/>
    </row>
    <row r="238" spans="1:7" s="106" customFormat="1" ht="15.95" hidden="1" outlineLevel="2">
      <c r="B238" s="971" t="s">
        <v>241</v>
      </c>
      <c r="C238" s="792">
        <f>IFERROR(INDEX(EnergyConversionRates,MATCH('Building Info &amp; Assumptions'!C237,EnergyUnits,0)),0)</f>
        <v>1000</v>
      </c>
      <c r="G238" s="515"/>
    </row>
    <row r="239" spans="1:7" s="106" customFormat="1" ht="15.95" hidden="1" outlineLevel="2">
      <c r="B239" s="971" t="s">
        <v>252</v>
      </c>
      <c r="C239" s="991">
        <f>IFERROR(E233/D233,0)</f>
        <v>0</v>
      </c>
      <c r="G239" s="515"/>
    </row>
    <row r="240" spans="1:7" s="106" customFormat="1" hidden="1" outlineLevel="2">
      <c r="B240" s="193"/>
      <c r="C240" s="514"/>
      <c r="G240" s="515"/>
    </row>
    <row r="241" spans="1:7" s="106" customFormat="1" ht="14.45" customHeight="1" outlineLevel="1" collapsed="1">
      <c r="A241" s="836" t="str">
        <f>A131</f>
        <v>Utility #5</v>
      </c>
      <c r="B241" s="836" t="str">
        <f>C131</f>
        <v>Purchased Hot Water</v>
      </c>
      <c r="G241" s="515"/>
    </row>
    <row r="242" spans="1:7" s="106" customFormat="1" outlineLevel="1">
      <c r="A242" s="836"/>
      <c r="B242" s="836"/>
      <c r="G242" s="515"/>
    </row>
    <row r="243" spans="1:7" s="106" customFormat="1" ht="15" hidden="1" customHeight="1" outlineLevel="2" thickBot="1">
      <c r="A243" s="822" t="str">
        <f>"MAIN DATA FOR ANALYSIS - "&amp;B241</f>
        <v>MAIN DATA FOR ANALYSIS - Purchased Hot Water</v>
      </c>
      <c r="B243" s="822"/>
      <c r="C243" s="822"/>
      <c r="D243" s="822"/>
      <c r="E243" s="822"/>
      <c r="G243" s="515"/>
    </row>
    <row r="244" spans="1:7" s="106" customFormat="1" ht="32.1" hidden="1" outlineLevel="2">
      <c r="A244" s="222" t="s">
        <v>232</v>
      </c>
      <c r="B244" s="222" t="s">
        <v>233</v>
      </c>
      <c r="C244" s="222" t="s">
        <v>234</v>
      </c>
      <c r="D244" s="980" t="str">
        <f>$B$241&amp;" Use ("&amp;$C$261&amp;")"</f>
        <v>Purchased Hot Water Use (MMBtu)</v>
      </c>
      <c r="E244" s="222" t="str">
        <f>$B$241&amp;" Cost ($)"</f>
        <v>Purchased Hot Water Cost ($)</v>
      </c>
      <c r="G244" s="515"/>
    </row>
    <row r="245" spans="1:7" s="106" customFormat="1" hidden="1" outlineLevel="2">
      <c r="A245" s="535">
        <v>43101</v>
      </c>
      <c r="B245" s="535">
        <f>A245+30</f>
        <v>43131</v>
      </c>
      <c r="C245" s="956">
        <f>B245-A245</f>
        <v>30</v>
      </c>
      <c r="D245" s="535"/>
      <c r="E245" s="535"/>
      <c r="G245" s="515"/>
    </row>
    <row r="246" spans="1:7" s="106" customFormat="1" hidden="1" outlineLevel="2">
      <c r="A246" s="535">
        <f>B245+1</f>
        <v>43132</v>
      </c>
      <c r="B246" s="535">
        <f>A246+30</f>
        <v>43162</v>
      </c>
      <c r="C246" s="956">
        <f t="shared" ref="C246:C256" si="19">B246-A246+IF(A246=B245,0,1)</f>
        <v>31</v>
      </c>
      <c r="D246" s="535"/>
      <c r="E246" s="535"/>
      <c r="G246" s="515"/>
    </row>
    <row r="247" spans="1:7" s="106" customFormat="1" hidden="1" outlineLevel="2">
      <c r="A247" s="535">
        <f t="shared" ref="A247:A256" si="20">B246+1</f>
        <v>43163</v>
      </c>
      <c r="B247" s="535">
        <f t="shared" ref="B247:B255" si="21">A247+30</f>
        <v>43193</v>
      </c>
      <c r="C247" s="956">
        <f t="shared" si="19"/>
        <v>31</v>
      </c>
      <c r="D247" s="535"/>
      <c r="E247" s="535"/>
      <c r="G247" s="515"/>
    </row>
    <row r="248" spans="1:7" s="106" customFormat="1" hidden="1" outlineLevel="2">
      <c r="A248" s="535">
        <f t="shared" si="20"/>
        <v>43194</v>
      </c>
      <c r="B248" s="535">
        <f t="shared" si="21"/>
        <v>43224</v>
      </c>
      <c r="C248" s="956">
        <f t="shared" si="19"/>
        <v>31</v>
      </c>
      <c r="D248" s="535"/>
      <c r="E248" s="535"/>
      <c r="G248" s="515"/>
    </row>
    <row r="249" spans="1:7" s="106" customFormat="1" hidden="1" outlineLevel="2">
      <c r="A249" s="535">
        <f t="shared" si="20"/>
        <v>43225</v>
      </c>
      <c r="B249" s="535">
        <f t="shared" si="21"/>
        <v>43255</v>
      </c>
      <c r="C249" s="956">
        <f t="shared" si="19"/>
        <v>31</v>
      </c>
      <c r="D249" s="535"/>
      <c r="E249" s="535"/>
      <c r="G249" s="515"/>
    </row>
    <row r="250" spans="1:7" s="106" customFormat="1" hidden="1" outlineLevel="2">
      <c r="A250" s="535">
        <f t="shared" si="20"/>
        <v>43256</v>
      </c>
      <c r="B250" s="535">
        <f t="shared" si="21"/>
        <v>43286</v>
      </c>
      <c r="C250" s="956">
        <f t="shared" si="19"/>
        <v>31</v>
      </c>
      <c r="D250" s="535"/>
      <c r="E250" s="535"/>
      <c r="G250" s="515"/>
    </row>
    <row r="251" spans="1:7" s="106" customFormat="1" hidden="1" outlineLevel="2">
      <c r="A251" s="535">
        <f t="shared" si="20"/>
        <v>43287</v>
      </c>
      <c r="B251" s="535">
        <f t="shared" si="21"/>
        <v>43317</v>
      </c>
      <c r="C251" s="956">
        <f t="shared" si="19"/>
        <v>31</v>
      </c>
      <c r="D251" s="535"/>
      <c r="E251" s="535"/>
      <c r="G251" s="515"/>
    </row>
    <row r="252" spans="1:7" s="106" customFormat="1" hidden="1" outlineLevel="2">
      <c r="A252" s="535">
        <f t="shared" si="20"/>
        <v>43318</v>
      </c>
      <c r="B252" s="535">
        <f t="shared" si="21"/>
        <v>43348</v>
      </c>
      <c r="C252" s="956">
        <f t="shared" si="19"/>
        <v>31</v>
      </c>
      <c r="D252" s="535"/>
      <c r="E252" s="535"/>
      <c r="G252" s="515"/>
    </row>
    <row r="253" spans="1:7" s="106" customFormat="1" hidden="1" outlineLevel="2">
      <c r="A253" s="535">
        <f t="shared" si="20"/>
        <v>43349</v>
      </c>
      <c r="B253" s="535">
        <f t="shared" si="21"/>
        <v>43379</v>
      </c>
      <c r="C253" s="956">
        <f t="shared" si="19"/>
        <v>31</v>
      </c>
      <c r="D253" s="535"/>
      <c r="E253" s="535"/>
      <c r="G253" s="515"/>
    </row>
    <row r="254" spans="1:7" s="106" customFormat="1" hidden="1" outlineLevel="2">
      <c r="A254" s="535">
        <f t="shared" si="20"/>
        <v>43380</v>
      </c>
      <c r="B254" s="535">
        <f t="shared" si="21"/>
        <v>43410</v>
      </c>
      <c r="C254" s="956">
        <f t="shared" si="19"/>
        <v>31</v>
      </c>
      <c r="D254" s="535"/>
      <c r="E254" s="535"/>
      <c r="G254" s="515"/>
    </row>
    <row r="255" spans="1:7" s="106" customFormat="1" hidden="1" outlineLevel="2">
      <c r="A255" s="535">
        <f t="shared" si="20"/>
        <v>43411</v>
      </c>
      <c r="B255" s="535">
        <f t="shared" si="21"/>
        <v>43441</v>
      </c>
      <c r="C255" s="956">
        <f t="shared" si="19"/>
        <v>31</v>
      </c>
      <c r="D255" s="535"/>
      <c r="E255" s="535"/>
      <c r="G255" s="515"/>
    </row>
    <row r="256" spans="1:7" s="106" customFormat="1" hidden="1" outlineLevel="2">
      <c r="A256" s="535">
        <f t="shared" si="20"/>
        <v>43442</v>
      </c>
      <c r="B256" s="535">
        <f>A256+24</f>
        <v>43466</v>
      </c>
      <c r="C256" s="956">
        <f t="shared" si="19"/>
        <v>25</v>
      </c>
      <c r="D256" s="535"/>
      <c r="E256" s="535"/>
      <c r="G256" s="515"/>
    </row>
    <row r="257" spans="1:7" s="106" customFormat="1" hidden="1" outlineLevel="2">
      <c r="A257" s="985" t="s">
        <v>235</v>
      </c>
      <c r="B257" s="985"/>
      <c r="C257" s="956">
        <f>SUM(C245:C256)</f>
        <v>365</v>
      </c>
      <c r="D257" s="961">
        <f>SUM(D245:D256)</f>
        <v>0</v>
      </c>
      <c r="E257" s="986">
        <f>SUM(E245:E256)</f>
        <v>0</v>
      </c>
      <c r="G257" s="515"/>
    </row>
    <row r="258" spans="1:7" s="106" customFormat="1" hidden="1" outlineLevel="2">
      <c r="A258" s="223"/>
      <c r="B258" s="223"/>
      <c r="C258" s="100"/>
      <c r="D258" s="350"/>
      <c r="E258" s="181"/>
      <c r="G258" s="515"/>
    </row>
    <row r="259" spans="1:7" s="106" customFormat="1" hidden="1" outlineLevel="2">
      <c r="G259" s="515"/>
    </row>
    <row r="260" spans="1:7" s="106" customFormat="1" hidden="1" outlineLevel="2">
      <c r="B260" s="992" t="str">
        <f>A241&amp;": Definition"</f>
        <v>Utility #5: Definition</v>
      </c>
      <c r="C260" s="993"/>
      <c r="G260" s="515"/>
    </row>
    <row r="261" spans="1:7" s="106" customFormat="1" ht="15.95" hidden="1" outlineLevel="2">
      <c r="B261" s="994" t="s">
        <v>239</v>
      </c>
      <c r="C261" s="995" t="str">
        <f>INDEX('Drop Down Lists'!$D$2:$D$11,MATCH('Building Info &amp; Assumptions'!B241,'Drop Down Lists'!$C$2:$C$11,0))</f>
        <v>MMBtu</v>
      </c>
      <c r="G261" s="515"/>
    </row>
    <row r="262" spans="1:7" s="106" customFormat="1" ht="15.95" hidden="1" outlineLevel="2">
      <c r="B262" s="995" t="s">
        <v>241</v>
      </c>
      <c r="C262" s="995">
        <f>IFERROR(INDEX(EnergyConversionRates,MATCH('Building Info &amp; Assumptions'!C261,EnergyUnits,0)),0)</f>
        <v>1000</v>
      </c>
      <c r="G262" s="515"/>
    </row>
    <row r="263" spans="1:7" s="106" customFormat="1" ht="15.95" hidden="1" outlineLevel="2">
      <c r="B263" s="995" t="s">
        <v>252</v>
      </c>
      <c r="C263" s="991">
        <f>IFERROR(E257/D257,0)</f>
        <v>0</v>
      </c>
      <c r="G263" s="515"/>
    </row>
    <row r="264" spans="1:7" s="106" customFormat="1" hidden="1" outlineLevel="2">
      <c r="B264" s="193"/>
      <c r="C264" s="514"/>
      <c r="G264" s="515"/>
    </row>
    <row r="265" spans="1:7" s="106" customFormat="1" ht="14.45" customHeight="1" outlineLevel="1" collapsed="1">
      <c r="A265" s="836" t="str">
        <f>A132</f>
        <v>Utility #6</v>
      </c>
      <c r="B265" s="836" t="str">
        <f>C132</f>
        <v>Fuel Oil</v>
      </c>
      <c r="G265" s="515"/>
    </row>
    <row r="266" spans="1:7" s="106" customFormat="1" outlineLevel="1">
      <c r="A266" s="836"/>
      <c r="B266" s="836"/>
      <c r="G266" s="515"/>
    </row>
    <row r="267" spans="1:7" s="106" customFormat="1" ht="15" hidden="1" customHeight="1" outlineLevel="2" thickBot="1">
      <c r="A267" s="822" t="str">
        <f>"MAIN DATA FOR ANALYSIS - "&amp;B265</f>
        <v>MAIN DATA FOR ANALYSIS - Fuel Oil</v>
      </c>
      <c r="B267" s="822"/>
      <c r="C267" s="822"/>
      <c r="D267" s="822"/>
      <c r="E267" s="822"/>
      <c r="G267" s="515"/>
    </row>
    <row r="268" spans="1:7" s="106" customFormat="1" ht="15.95" hidden="1" outlineLevel="2">
      <c r="A268" s="222" t="s">
        <v>232</v>
      </c>
      <c r="B268" s="222" t="s">
        <v>233</v>
      </c>
      <c r="C268" s="222" t="s">
        <v>234</v>
      </c>
      <c r="D268" s="980" t="str">
        <f>$B$265&amp;" Use ("&amp;$C$285&amp;")"</f>
        <v>Fuel Oil Use (gallons)</v>
      </c>
      <c r="E268" s="222" t="str">
        <f>$B$265&amp;" Cost ($)"</f>
        <v>Fuel Oil Cost ($)</v>
      </c>
      <c r="G268" s="515"/>
    </row>
    <row r="269" spans="1:7" s="106" customFormat="1" hidden="1" outlineLevel="2">
      <c r="A269" s="535">
        <v>43101</v>
      </c>
      <c r="B269" s="535">
        <f>A269+30</f>
        <v>43131</v>
      </c>
      <c r="C269" s="956">
        <f>B269-A269</f>
        <v>30</v>
      </c>
      <c r="D269" s="535"/>
      <c r="E269" s="535"/>
      <c r="G269" s="515"/>
    </row>
    <row r="270" spans="1:7" s="106" customFormat="1" hidden="1" outlineLevel="2">
      <c r="A270" s="535">
        <f>B269+1</f>
        <v>43132</v>
      </c>
      <c r="B270" s="535">
        <f>A270+30</f>
        <v>43162</v>
      </c>
      <c r="C270" s="956">
        <f t="shared" ref="C270:C280" si="22">B270-A270+IF(A270=B269,0,1)</f>
        <v>31</v>
      </c>
      <c r="D270" s="535"/>
      <c r="E270" s="535"/>
      <c r="G270" s="515"/>
    </row>
    <row r="271" spans="1:7" s="106" customFormat="1" hidden="1" outlineLevel="2">
      <c r="A271" s="535">
        <f t="shared" ref="A271:A280" si="23">B270+1</f>
        <v>43163</v>
      </c>
      <c r="B271" s="535">
        <f t="shared" ref="B271:B279" si="24">A271+30</f>
        <v>43193</v>
      </c>
      <c r="C271" s="956">
        <f t="shared" si="22"/>
        <v>31</v>
      </c>
      <c r="D271" s="535"/>
      <c r="E271" s="535"/>
      <c r="G271" s="515"/>
    </row>
    <row r="272" spans="1:7" s="106" customFormat="1" hidden="1" outlineLevel="2">
      <c r="A272" s="535">
        <f t="shared" si="23"/>
        <v>43194</v>
      </c>
      <c r="B272" s="535">
        <f t="shared" si="24"/>
        <v>43224</v>
      </c>
      <c r="C272" s="956">
        <f t="shared" si="22"/>
        <v>31</v>
      </c>
      <c r="D272" s="535"/>
      <c r="E272" s="535"/>
      <c r="G272" s="515"/>
    </row>
    <row r="273" spans="1:7" s="106" customFormat="1" hidden="1" outlineLevel="2">
      <c r="A273" s="535">
        <f t="shared" si="23"/>
        <v>43225</v>
      </c>
      <c r="B273" s="535">
        <f t="shared" si="24"/>
        <v>43255</v>
      </c>
      <c r="C273" s="956">
        <f t="shared" si="22"/>
        <v>31</v>
      </c>
      <c r="D273" s="535"/>
      <c r="E273" s="535"/>
      <c r="G273" s="515"/>
    </row>
    <row r="274" spans="1:7" s="106" customFormat="1" hidden="1" outlineLevel="2">
      <c r="A274" s="535">
        <f t="shared" si="23"/>
        <v>43256</v>
      </c>
      <c r="B274" s="535">
        <f t="shared" si="24"/>
        <v>43286</v>
      </c>
      <c r="C274" s="956">
        <f t="shared" si="22"/>
        <v>31</v>
      </c>
      <c r="D274" s="535"/>
      <c r="E274" s="535"/>
      <c r="G274" s="515"/>
    </row>
    <row r="275" spans="1:7" s="106" customFormat="1" hidden="1" outlineLevel="2">
      <c r="A275" s="535">
        <f t="shared" si="23"/>
        <v>43287</v>
      </c>
      <c r="B275" s="535">
        <f t="shared" si="24"/>
        <v>43317</v>
      </c>
      <c r="C275" s="956">
        <f t="shared" si="22"/>
        <v>31</v>
      </c>
      <c r="D275" s="535"/>
      <c r="E275" s="535"/>
      <c r="G275" s="515"/>
    </row>
    <row r="276" spans="1:7" s="106" customFormat="1" hidden="1" outlineLevel="2">
      <c r="A276" s="535">
        <f t="shared" si="23"/>
        <v>43318</v>
      </c>
      <c r="B276" s="535">
        <f t="shared" si="24"/>
        <v>43348</v>
      </c>
      <c r="C276" s="956">
        <f t="shared" si="22"/>
        <v>31</v>
      </c>
      <c r="D276" s="535"/>
      <c r="E276" s="535"/>
      <c r="G276" s="515"/>
    </row>
    <row r="277" spans="1:7" s="106" customFormat="1" hidden="1" outlineLevel="2">
      <c r="A277" s="535">
        <f t="shared" si="23"/>
        <v>43349</v>
      </c>
      <c r="B277" s="535">
        <f t="shared" si="24"/>
        <v>43379</v>
      </c>
      <c r="C277" s="956">
        <f t="shared" si="22"/>
        <v>31</v>
      </c>
      <c r="D277" s="535"/>
      <c r="E277" s="535"/>
      <c r="G277" s="515"/>
    </row>
    <row r="278" spans="1:7" s="106" customFormat="1" hidden="1" outlineLevel="2">
      <c r="A278" s="535">
        <f t="shared" si="23"/>
        <v>43380</v>
      </c>
      <c r="B278" s="535">
        <f t="shared" si="24"/>
        <v>43410</v>
      </c>
      <c r="C278" s="956">
        <f t="shared" si="22"/>
        <v>31</v>
      </c>
      <c r="D278" s="535"/>
      <c r="E278" s="535"/>
      <c r="G278" s="515"/>
    </row>
    <row r="279" spans="1:7" s="106" customFormat="1" hidden="1" outlineLevel="2">
      <c r="A279" s="535">
        <f t="shared" si="23"/>
        <v>43411</v>
      </c>
      <c r="B279" s="535">
        <f t="shared" si="24"/>
        <v>43441</v>
      </c>
      <c r="C279" s="956">
        <f t="shared" si="22"/>
        <v>31</v>
      </c>
      <c r="D279" s="535"/>
      <c r="E279" s="535"/>
      <c r="G279" s="515"/>
    </row>
    <row r="280" spans="1:7" s="106" customFormat="1" hidden="1" outlineLevel="2">
      <c r="A280" s="535">
        <f t="shared" si="23"/>
        <v>43442</v>
      </c>
      <c r="B280" s="535">
        <f>A280+24</f>
        <v>43466</v>
      </c>
      <c r="C280" s="956">
        <f t="shared" si="22"/>
        <v>25</v>
      </c>
      <c r="D280" s="535"/>
      <c r="E280" s="535"/>
      <c r="G280" s="515"/>
    </row>
    <row r="281" spans="1:7" s="106" customFormat="1" hidden="1" outlineLevel="2">
      <c r="A281" s="985" t="s">
        <v>235</v>
      </c>
      <c r="B281" s="985"/>
      <c r="C281" s="956">
        <f>SUM(C269:C280)</f>
        <v>365</v>
      </c>
      <c r="D281" s="961">
        <f>SUM(D269:D280)</f>
        <v>0</v>
      </c>
      <c r="E281" s="986">
        <f>SUM(E269:E280)</f>
        <v>0</v>
      </c>
      <c r="G281" s="515"/>
    </row>
    <row r="282" spans="1:7" s="106" customFormat="1" hidden="1" outlineLevel="2">
      <c r="A282" s="223"/>
      <c r="B282" s="223"/>
      <c r="C282" s="100"/>
      <c r="D282" s="350"/>
      <c r="E282" s="181"/>
      <c r="G282" s="515"/>
    </row>
    <row r="283" spans="1:7" s="106" customFormat="1" hidden="1" outlineLevel="2">
      <c r="G283" s="515"/>
    </row>
    <row r="284" spans="1:7" s="106" customFormat="1" hidden="1" outlineLevel="2">
      <c r="B284" s="992" t="str">
        <f>A265&amp;": Definition"</f>
        <v>Utility #6: Definition</v>
      </c>
      <c r="C284" s="993"/>
      <c r="G284" s="515"/>
    </row>
    <row r="285" spans="1:7" s="106" customFormat="1" ht="15.95" hidden="1" outlineLevel="2">
      <c r="B285" s="994" t="s">
        <v>239</v>
      </c>
      <c r="C285" s="995" t="str">
        <f>INDEX('Drop Down Lists'!$D$2:$D$12,MATCH('Building Info &amp; Assumptions'!B265,'Drop Down Lists'!$C$2:$C$12,0))</f>
        <v>gallons</v>
      </c>
      <c r="G285" s="515"/>
    </row>
    <row r="286" spans="1:7" s="106" customFormat="1" ht="15.95" hidden="1" outlineLevel="2">
      <c r="B286" s="995" t="s">
        <v>241</v>
      </c>
      <c r="C286" s="995">
        <f>IFERROR(INDEX(EnergyConversionRates,MATCH('Building Info &amp; Assumptions'!C285,EnergyUnits,0)),0)</f>
        <v>135</v>
      </c>
      <c r="G286" s="515"/>
    </row>
    <row r="287" spans="1:7" s="106" customFormat="1" ht="15.95" hidden="1" outlineLevel="2">
      <c r="B287" s="995" t="s">
        <v>253</v>
      </c>
      <c r="C287" s="991">
        <f>IFERROR(E281/D281,0)</f>
        <v>0</v>
      </c>
      <c r="G287" s="515"/>
    </row>
    <row r="288" spans="1:7" s="106" customFormat="1" hidden="1" outlineLevel="2">
      <c r="B288" s="193"/>
      <c r="C288" s="514"/>
      <c r="G288" s="515"/>
    </row>
    <row r="289" spans="1:49" s="106" customFormat="1" outlineLevel="1" collapsed="1">
      <c r="A289" s="836" t="str">
        <f>A133</f>
        <v>Utility #7</v>
      </c>
      <c r="B289" s="836" t="str">
        <f>C133</f>
        <v>Select Metered Energy Type</v>
      </c>
      <c r="F289" s="533"/>
      <c r="G289" s="533"/>
      <c r="H289" s="533"/>
      <c r="I289" s="533"/>
      <c r="J289" s="533"/>
      <c r="K289" s="533"/>
      <c r="L289" s="533"/>
      <c r="M289" s="533"/>
      <c r="N289" s="533"/>
      <c r="O289" s="533"/>
      <c r="P289" s="533"/>
      <c r="Q289" s="533"/>
      <c r="R289" s="533"/>
      <c r="S289" s="533"/>
      <c r="T289" s="533"/>
      <c r="U289" s="533"/>
      <c r="V289" s="533"/>
      <c r="W289" s="533"/>
      <c r="X289" s="533"/>
      <c r="Y289" s="533"/>
      <c r="Z289" s="533"/>
      <c r="AA289" s="533"/>
      <c r="AB289" s="533"/>
      <c r="AC289" s="533"/>
      <c r="AD289" s="533"/>
      <c r="AE289" s="533"/>
      <c r="AF289" s="533"/>
      <c r="AG289" s="533"/>
      <c r="AH289" s="533"/>
      <c r="AI289" s="533"/>
      <c r="AJ289" s="533"/>
      <c r="AK289" s="533"/>
      <c r="AL289" s="533"/>
      <c r="AM289" s="533"/>
      <c r="AN289" s="533"/>
      <c r="AO289" s="533"/>
      <c r="AP289" s="533"/>
      <c r="AQ289" s="533"/>
      <c r="AR289" s="533"/>
      <c r="AS289" s="533"/>
      <c r="AT289" s="533"/>
      <c r="AU289" s="533"/>
      <c r="AV289" s="533"/>
      <c r="AW289" s="533"/>
    </row>
    <row r="290" spans="1:49" s="106" customFormat="1" outlineLevel="1">
      <c r="A290" s="836"/>
      <c r="B290" s="836"/>
      <c r="F290" s="533"/>
      <c r="G290" s="533"/>
      <c r="H290" s="533"/>
      <c r="I290" s="533"/>
      <c r="J290" s="533"/>
      <c r="K290" s="533"/>
      <c r="L290" s="533"/>
      <c r="M290" s="533"/>
      <c r="N290" s="533"/>
      <c r="O290" s="53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c r="AP290" s="533"/>
      <c r="AQ290" s="533"/>
      <c r="AR290" s="533"/>
      <c r="AS290" s="533"/>
      <c r="AT290" s="533"/>
      <c r="AU290" s="533"/>
      <c r="AV290" s="533"/>
      <c r="AW290" s="533"/>
    </row>
    <row r="291" spans="1:49" s="106" customFormat="1" ht="15.95" hidden="1" outlineLevel="2" thickBot="1">
      <c r="A291" s="822" t="str">
        <f>"MAIN DATA FOR ANALYSIS - "&amp;B289</f>
        <v>MAIN DATA FOR ANALYSIS - Select Metered Energy Type</v>
      </c>
      <c r="B291" s="822"/>
      <c r="C291" s="822"/>
      <c r="D291" s="822"/>
      <c r="E291" s="822"/>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row>
    <row r="292" spans="1:49" s="106" customFormat="1" ht="32.1" hidden="1" outlineLevel="2">
      <c r="A292" s="222" t="s">
        <v>232</v>
      </c>
      <c r="B292" s="222" t="s">
        <v>233</v>
      </c>
      <c r="C292" s="222" t="s">
        <v>234</v>
      </c>
      <c r="D292" s="980" t="str">
        <f>$B$289&amp;" Use ("&amp;$C$308&amp;")"</f>
        <v>Select Metered Energy Type Use (0)</v>
      </c>
      <c r="E292" s="222" t="str">
        <f>$B$289&amp;" Cost ($)"</f>
        <v>Select Metered Energy Type Cost ($)</v>
      </c>
      <c r="F292" s="533"/>
      <c r="G292" s="533"/>
      <c r="H292" s="533"/>
      <c r="I292" s="533"/>
      <c r="J292" s="533"/>
      <c r="K292" s="533"/>
      <c r="L292" s="533"/>
      <c r="M292" s="533"/>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c r="AS292" s="533"/>
      <c r="AT292" s="533"/>
      <c r="AU292" s="533"/>
      <c r="AV292" s="533"/>
      <c r="AW292" s="533"/>
    </row>
    <row r="293" spans="1:49" s="106" customFormat="1" hidden="1" outlineLevel="2">
      <c r="A293" s="535">
        <v>43101</v>
      </c>
      <c r="B293" s="535">
        <f>A293+30</f>
        <v>43131</v>
      </c>
      <c r="C293" s="956">
        <f>B293-A293</f>
        <v>30</v>
      </c>
      <c r="D293" s="535"/>
      <c r="E293" s="535"/>
      <c r="F293" s="533"/>
      <c r="G293" s="533"/>
      <c r="H293" s="533"/>
      <c r="I293" s="533"/>
      <c r="J293" s="533"/>
      <c r="K293" s="533"/>
      <c r="L293" s="533"/>
      <c r="M293" s="533"/>
      <c r="N293" s="533"/>
      <c r="O293" s="533"/>
      <c r="P293" s="533"/>
      <c r="Q293" s="533"/>
      <c r="R293" s="533"/>
      <c r="S293" s="533"/>
      <c r="T293" s="533"/>
      <c r="U293" s="533"/>
      <c r="V293" s="533"/>
      <c r="W293" s="533"/>
      <c r="X293" s="533"/>
      <c r="Y293" s="533"/>
      <c r="Z293" s="533"/>
      <c r="AA293" s="533"/>
      <c r="AB293" s="533"/>
      <c r="AC293" s="533"/>
      <c r="AD293" s="533"/>
      <c r="AE293" s="533"/>
      <c r="AF293" s="533"/>
      <c r="AG293" s="533"/>
      <c r="AH293" s="533"/>
      <c r="AI293" s="533"/>
      <c r="AJ293" s="533"/>
      <c r="AK293" s="533"/>
      <c r="AL293" s="533"/>
      <c r="AM293" s="533"/>
      <c r="AN293" s="533"/>
      <c r="AO293" s="533"/>
      <c r="AP293" s="533"/>
      <c r="AQ293" s="533"/>
      <c r="AR293" s="533"/>
      <c r="AS293" s="533"/>
      <c r="AT293" s="533"/>
      <c r="AU293" s="533"/>
      <c r="AV293" s="533"/>
      <c r="AW293" s="533"/>
    </row>
    <row r="294" spans="1:49" s="106" customFormat="1" hidden="1" outlineLevel="2">
      <c r="A294" s="535">
        <f>B293+1</f>
        <v>43132</v>
      </c>
      <c r="B294" s="535">
        <f>A294+30</f>
        <v>43162</v>
      </c>
      <c r="C294" s="956">
        <f t="shared" ref="C294:C304" si="25">B294-A294+IF(A294=B293,0,1)</f>
        <v>31</v>
      </c>
      <c r="D294" s="535"/>
      <c r="E294" s="535"/>
      <c r="F294" s="533"/>
      <c r="G294" s="533"/>
      <c r="H294" s="533"/>
      <c r="I294" s="533"/>
      <c r="J294" s="533"/>
      <c r="K294" s="533"/>
      <c r="L294" s="533"/>
      <c r="M294" s="533"/>
      <c r="N294" s="533"/>
      <c r="O294" s="533"/>
      <c r="P294" s="533"/>
      <c r="Q294" s="533"/>
      <c r="R294" s="533"/>
      <c r="S294" s="533"/>
      <c r="T294" s="533"/>
      <c r="U294" s="533"/>
      <c r="V294" s="533"/>
      <c r="W294" s="533"/>
      <c r="X294" s="533"/>
      <c r="Y294" s="533"/>
      <c r="Z294" s="533"/>
      <c r="AA294" s="533"/>
      <c r="AB294" s="533"/>
      <c r="AC294" s="533"/>
      <c r="AD294" s="533"/>
      <c r="AE294" s="533"/>
      <c r="AF294" s="533"/>
      <c r="AG294" s="533"/>
      <c r="AH294" s="533"/>
      <c r="AI294" s="533"/>
      <c r="AJ294" s="533"/>
      <c r="AK294" s="533"/>
      <c r="AL294" s="533"/>
      <c r="AM294" s="533"/>
      <c r="AN294" s="533"/>
      <c r="AO294" s="533"/>
      <c r="AP294" s="533"/>
      <c r="AQ294" s="533"/>
      <c r="AR294" s="533"/>
      <c r="AS294" s="533"/>
      <c r="AT294" s="533"/>
      <c r="AU294" s="533"/>
      <c r="AV294" s="533"/>
      <c r="AW294" s="533"/>
    </row>
    <row r="295" spans="1:49" s="106" customFormat="1" hidden="1" outlineLevel="2">
      <c r="A295" s="535">
        <f t="shared" ref="A295:A304" si="26">B294+1</f>
        <v>43163</v>
      </c>
      <c r="B295" s="535">
        <f t="shared" ref="B295:B303" si="27">A295+30</f>
        <v>43193</v>
      </c>
      <c r="C295" s="956">
        <f t="shared" si="25"/>
        <v>31</v>
      </c>
      <c r="D295" s="535"/>
      <c r="E295" s="535"/>
      <c r="F295" s="533"/>
      <c r="G295" s="533"/>
      <c r="H295" s="533"/>
      <c r="I295" s="533"/>
      <c r="J295" s="533"/>
      <c r="K295" s="533"/>
      <c r="L295" s="533"/>
      <c r="M295" s="533"/>
      <c r="N295" s="533"/>
      <c r="O295" s="533"/>
      <c r="P295" s="533"/>
      <c r="Q295" s="533"/>
      <c r="R295" s="533"/>
      <c r="S295" s="533"/>
      <c r="T295" s="533"/>
      <c r="U295" s="533"/>
      <c r="V295" s="533"/>
      <c r="W295" s="533"/>
      <c r="X295" s="533"/>
      <c r="Y295" s="533"/>
      <c r="Z295" s="533"/>
      <c r="AA295" s="533"/>
      <c r="AB295" s="533"/>
      <c r="AC295" s="533"/>
      <c r="AD295" s="533"/>
      <c r="AE295" s="533"/>
      <c r="AF295" s="533"/>
      <c r="AG295" s="533"/>
      <c r="AH295" s="533"/>
      <c r="AI295" s="533"/>
      <c r="AJ295" s="533"/>
      <c r="AK295" s="533"/>
      <c r="AL295" s="533"/>
      <c r="AM295" s="533"/>
      <c r="AN295" s="533"/>
      <c r="AO295" s="533"/>
      <c r="AP295" s="533"/>
      <c r="AQ295" s="533"/>
      <c r="AR295" s="533"/>
      <c r="AS295" s="533"/>
      <c r="AT295" s="533"/>
      <c r="AU295" s="533"/>
      <c r="AV295" s="533"/>
      <c r="AW295" s="533"/>
    </row>
    <row r="296" spans="1:49" s="106" customFormat="1" hidden="1" outlineLevel="2">
      <c r="A296" s="535">
        <f t="shared" si="26"/>
        <v>43194</v>
      </c>
      <c r="B296" s="535">
        <f t="shared" si="27"/>
        <v>43224</v>
      </c>
      <c r="C296" s="956">
        <f t="shared" si="25"/>
        <v>31</v>
      </c>
      <c r="D296" s="535"/>
      <c r="E296" s="535"/>
      <c r="F296" s="533"/>
      <c r="G296" s="533"/>
      <c r="H296" s="533"/>
      <c r="I296" s="533"/>
      <c r="J296" s="533"/>
      <c r="K296" s="533"/>
      <c r="L296" s="533"/>
      <c r="M296" s="533"/>
      <c r="N296" s="533"/>
      <c r="O296" s="533"/>
      <c r="P296" s="533"/>
      <c r="Q296" s="533"/>
      <c r="R296" s="533"/>
      <c r="S296" s="533"/>
      <c r="T296" s="533"/>
      <c r="U296" s="533"/>
      <c r="V296" s="533"/>
      <c r="W296" s="533"/>
      <c r="X296" s="533"/>
      <c r="Y296" s="533"/>
      <c r="Z296" s="533"/>
      <c r="AA296" s="533"/>
      <c r="AB296" s="533"/>
      <c r="AC296" s="533"/>
      <c r="AD296" s="533"/>
      <c r="AE296" s="533"/>
      <c r="AF296" s="533"/>
      <c r="AG296" s="533"/>
      <c r="AH296" s="533"/>
      <c r="AI296" s="533"/>
      <c r="AJ296" s="533"/>
      <c r="AK296" s="533"/>
      <c r="AL296" s="533"/>
      <c r="AM296" s="533"/>
      <c r="AN296" s="533"/>
      <c r="AO296" s="533"/>
      <c r="AP296" s="533"/>
      <c r="AQ296" s="533"/>
      <c r="AR296" s="533"/>
      <c r="AS296" s="533"/>
      <c r="AT296" s="533"/>
      <c r="AU296" s="533"/>
      <c r="AV296" s="533"/>
      <c r="AW296" s="533"/>
    </row>
    <row r="297" spans="1:49" s="106" customFormat="1" hidden="1" outlineLevel="2">
      <c r="A297" s="535">
        <f t="shared" si="26"/>
        <v>43225</v>
      </c>
      <c r="B297" s="535">
        <f t="shared" si="27"/>
        <v>43255</v>
      </c>
      <c r="C297" s="956">
        <f t="shared" si="25"/>
        <v>31</v>
      </c>
      <c r="D297" s="535"/>
      <c r="E297" s="535"/>
      <c r="F297" s="533"/>
      <c r="G297" s="533"/>
      <c r="H297" s="533"/>
      <c r="I297" s="533"/>
      <c r="J297" s="533"/>
      <c r="K297" s="533"/>
      <c r="L297" s="533"/>
      <c r="M297" s="533"/>
      <c r="N297" s="533"/>
      <c r="O297" s="53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c r="AP297" s="533"/>
      <c r="AQ297" s="533"/>
      <c r="AR297" s="533"/>
      <c r="AS297" s="533"/>
      <c r="AT297" s="533"/>
      <c r="AU297" s="533"/>
      <c r="AV297" s="533"/>
      <c r="AW297" s="533"/>
    </row>
    <row r="298" spans="1:49" s="106" customFormat="1" hidden="1" outlineLevel="2">
      <c r="A298" s="535">
        <f t="shared" si="26"/>
        <v>43256</v>
      </c>
      <c r="B298" s="535">
        <f t="shared" si="27"/>
        <v>43286</v>
      </c>
      <c r="C298" s="956">
        <f t="shared" si="25"/>
        <v>31</v>
      </c>
      <c r="D298" s="535"/>
      <c r="E298" s="535"/>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row>
    <row r="299" spans="1:49" s="106" customFormat="1" hidden="1" outlineLevel="2">
      <c r="A299" s="535">
        <f t="shared" si="26"/>
        <v>43287</v>
      </c>
      <c r="B299" s="535">
        <f t="shared" si="27"/>
        <v>43317</v>
      </c>
      <c r="C299" s="956">
        <f t="shared" si="25"/>
        <v>31</v>
      </c>
      <c r="D299" s="535"/>
      <c r="E299" s="535"/>
      <c r="F299" s="533"/>
      <c r="G299" s="533"/>
      <c r="H299" s="533"/>
      <c r="I299" s="533"/>
      <c r="J299" s="533"/>
      <c r="K299" s="533"/>
      <c r="L299" s="533"/>
      <c r="M299" s="533"/>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c r="AS299" s="533"/>
      <c r="AT299" s="533"/>
      <c r="AU299" s="533"/>
      <c r="AV299" s="533"/>
      <c r="AW299" s="533"/>
    </row>
    <row r="300" spans="1:49" s="106" customFormat="1" hidden="1" outlineLevel="2">
      <c r="A300" s="535">
        <f t="shared" si="26"/>
        <v>43318</v>
      </c>
      <c r="B300" s="535">
        <f t="shared" si="27"/>
        <v>43348</v>
      </c>
      <c r="C300" s="956">
        <f t="shared" si="25"/>
        <v>31</v>
      </c>
      <c r="D300" s="535"/>
      <c r="E300" s="535"/>
      <c r="F300" s="533"/>
      <c r="G300" s="533"/>
      <c r="H300" s="533"/>
      <c r="I300" s="533"/>
      <c r="J300" s="533"/>
      <c r="K300" s="533"/>
      <c r="L300" s="533"/>
      <c r="M300" s="533"/>
      <c r="N300" s="533"/>
      <c r="O300" s="533"/>
      <c r="P300" s="533"/>
      <c r="Q300" s="533"/>
      <c r="R300" s="533"/>
      <c r="S300" s="533"/>
      <c r="T300" s="533"/>
      <c r="U300" s="533"/>
      <c r="V300" s="533"/>
      <c r="W300" s="533"/>
      <c r="X300" s="533"/>
      <c r="Y300" s="533"/>
      <c r="Z300" s="533"/>
      <c r="AA300" s="533"/>
      <c r="AB300" s="533"/>
      <c r="AC300" s="533"/>
      <c r="AD300" s="533"/>
      <c r="AE300" s="533"/>
      <c r="AF300" s="533"/>
      <c r="AG300" s="533"/>
      <c r="AH300" s="533"/>
      <c r="AI300" s="533"/>
      <c r="AJ300" s="533"/>
      <c r="AK300" s="533"/>
      <c r="AL300" s="533"/>
      <c r="AM300" s="533"/>
      <c r="AN300" s="533"/>
      <c r="AO300" s="533"/>
      <c r="AP300" s="533"/>
      <c r="AQ300" s="533"/>
      <c r="AR300" s="533"/>
      <c r="AS300" s="533"/>
      <c r="AT300" s="533"/>
      <c r="AU300" s="533"/>
      <c r="AV300" s="533"/>
      <c r="AW300" s="533"/>
    </row>
    <row r="301" spans="1:49" s="106" customFormat="1" hidden="1" outlineLevel="2">
      <c r="A301" s="535">
        <f t="shared" si="26"/>
        <v>43349</v>
      </c>
      <c r="B301" s="535">
        <f t="shared" si="27"/>
        <v>43379</v>
      </c>
      <c r="C301" s="956">
        <f t="shared" si="25"/>
        <v>31</v>
      </c>
      <c r="D301" s="535"/>
      <c r="E301" s="535"/>
      <c r="F301" s="533"/>
      <c r="G301" s="533"/>
      <c r="H301" s="533"/>
      <c r="I301" s="533"/>
      <c r="J301" s="533"/>
      <c r="K301" s="533"/>
      <c r="L301" s="533"/>
      <c r="M301" s="533"/>
      <c r="N301" s="533"/>
      <c r="O301" s="533"/>
      <c r="P301" s="533"/>
      <c r="Q301" s="533"/>
      <c r="R301" s="533"/>
      <c r="S301" s="533"/>
      <c r="T301" s="533"/>
      <c r="U301" s="533"/>
      <c r="V301" s="533"/>
      <c r="W301" s="533"/>
      <c r="X301" s="533"/>
      <c r="Y301" s="533"/>
      <c r="Z301" s="533"/>
      <c r="AA301" s="533"/>
      <c r="AB301" s="533"/>
      <c r="AC301" s="533"/>
      <c r="AD301" s="533"/>
      <c r="AE301" s="533"/>
      <c r="AF301" s="533"/>
      <c r="AG301" s="533"/>
      <c r="AH301" s="533"/>
      <c r="AI301" s="533"/>
      <c r="AJ301" s="533"/>
      <c r="AK301" s="533"/>
      <c r="AL301" s="533"/>
      <c r="AM301" s="533"/>
      <c r="AN301" s="533"/>
      <c r="AO301" s="533"/>
      <c r="AP301" s="533"/>
      <c r="AQ301" s="533"/>
      <c r="AR301" s="533"/>
      <c r="AS301" s="533"/>
      <c r="AT301" s="533"/>
      <c r="AU301" s="533"/>
      <c r="AV301" s="533"/>
      <c r="AW301" s="533"/>
    </row>
    <row r="302" spans="1:49" s="106" customFormat="1" hidden="1" outlineLevel="2">
      <c r="A302" s="535">
        <f t="shared" si="26"/>
        <v>43380</v>
      </c>
      <c r="B302" s="535">
        <f t="shared" si="27"/>
        <v>43410</v>
      </c>
      <c r="C302" s="956">
        <f t="shared" si="25"/>
        <v>31</v>
      </c>
      <c r="D302" s="535"/>
      <c r="E302" s="535"/>
      <c r="F302" s="533"/>
      <c r="G302" s="533"/>
      <c r="H302" s="533"/>
      <c r="I302" s="533"/>
      <c r="J302" s="533"/>
      <c r="K302" s="533"/>
      <c r="L302" s="533"/>
      <c r="M302" s="533"/>
      <c r="N302" s="533"/>
      <c r="O302" s="533"/>
      <c r="P302" s="533"/>
      <c r="Q302" s="533"/>
      <c r="R302" s="533"/>
      <c r="S302" s="533"/>
      <c r="T302" s="533"/>
      <c r="U302" s="533"/>
      <c r="V302" s="533"/>
      <c r="W302" s="533"/>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row>
    <row r="303" spans="1:49" s="106" customFormat="1" hidden="1" outlineLevel="2">
      <c r="A303" s="535">
        <f t="shared" si="26"/>
        <v>43411</v>
      </c>
      <c r="B303" s="535">
        <f t="shared" si="27"/>
        <v>43441</v>
      </c>
      <c r="C303" s="956">
        <f t="shared" si="25"/>
        <v>31</v>
      </c>
      <c r="D303" s="535"/>
      <c r="E303" s="535"/>
      <c r="F303" s="533"/>
      <c r="G303" s="533"/>
      <c r="H303" s="533"/>
      <c r="I303" s="533"/>
      <c r="J303" s="533"/>
      <c r="K303" s="533"/>
      <c r="L303" s="533"/>
      <c r="M303" s="533"/>
      <c r="N303" s="533"/>
      <c r="O303" s="533"/>
      <c r="P303" s="533"/>
      <c r="Q303" s="533"/>
      <c r="R303" s="533"/>
      <c r="S303" s="533"/>
      <c r="T303" s="533"/>
      <c r="U303" s="533"/>
      <c r="V303" s="533"/>
      <c r="W303" s="533"/>
      <c r="X303" s="533"/>
      <c r="Y303" s="533"/>
      <c r="Z303" s="533"/>
      <c r="AA303" s="533"/>
      <c r="AB303" s="533"/>
      <c r="AC303" s="533"/>
      <c r="AD303" s="533"/>
      <c r="AE303" s="533"/>
      <c r="AF303" s="533"/>
      <c r="AG303" s="533"/>
      <c r="AH303" s="533"/>
      <c r="AI303" s="533"/>
      <c r="AJ303" s="533"/>
      <c r="AK303" s="533"/>
      <c r="AL303" s="533"/>
      <c r="AM303" s="533"/>
      <c r="AN303" s="533"/>
      <c r="AO303" s="533"/>
      <c r="AP303" s="533"/>
      <c r="AQ303" s="533"/>
      <c r="AR303" s="533"/>
      <c r="AS303" s="533"/>
      <c r="AT303" s="533"/>
      <c r="AU303" s="533"/>
      <c r="AV303" s="533"/>
      <c r="AW303" s="533"/>
    </row>
    <row r="304" spans="1:49" s="106" customFormat="1" hidden="1" outlineLevel="2">
      <c r="A304" s="535">
        <f t="shared" si="26"/>
        <v>43442</v>
      </c>
      <c r="B304" s="535">
        <f>A304+24</f>
        <v>43466</v>
      </c>
      <c r="C304" s="956">
        <f t="shared" si="25"/>
        <v>25</v>
      </c>
      <c r="D304" s="535"/>
      <c r="E304" s="535"/>
      <c r="F304" s="533"/>
      <c r="G304" s="533"/>
      <c r="H304" s="533"/>
      <c r="I304" s="533"/>
      <c r="J304" s="533"/>
      <c r="K304" s="533"/>
      <c r="L304" s="533"/>
      <c r="M304" s="533"/>
      <c r="N304" s="533"/>
      <c r="O304" s="53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c r="AP304" s="533"/>
      <c r="AQ304" s="533"/>
      <c r="AR304" s="533"/>
      <c r="AS304" s="533"/>
      <c r="AT304" s="533"/>
      <c r="AU304" s="533"/>
      <c r="AV304" s="533"/>
      <c r="AW304" s="533"/>
    </row>
    <row r="305" spans="1:49" s="106" customFormat="1" hidden="1" outlineLevel="2">
      <c r="A305" s="985" t="s">
        <v>235</v>
      </c>
      <c r="B305" s="985"/>
      <c r="C305" s="956">
        <f>SUM(C293:C304)</f>
        <v>365</v>
      </c>
      <c r="D305" s="961">
        <f>SUM(D293:D304)</f>
        <v>0</v>
      </c>
      <c r="E305" s="986">
        <f>SUM(E293:E304)</f>
        <v>0</v>
      </c>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row>
    <row r="306" spans="1:49" s="106" customFormat="1" hidden="1" outlineLevel="2">
      <c r="A306" s="223"/>
      <c r="B306" s="223"/>
      <c r="C306" s="100"/>
      <c r="D306" s="350"/>
      <c r="E306" s="181"/>
      <c r="F306" s="533"/>
      <c r="G306" s="533"/>
      <c r="H306" s="533"/>
      <c r="I306" s="533"/>
      <c r="J306" s="533"/>
      <c r="K306" s="533"/>
      <c r="L306" s="533"/>
      <c r="M306" s="533"/>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c r="AS306" s="533"/>
      <c r="AT306" s="533"/>
      <c r="AU306" s="533"/>
      <c r="AV306" s="533"/>
      <c r="AW306" s="533"/>
    </row>
    <row r="307" spans="1:49" s="106" customFormat="1" hidden="1" outlineLevel="2">
      <c r="F307" s="533"/>
      <c r="G307" s="533"/>
      <c r="H307" s="533"/>
      <c r="I307" s="533"/>
      <c r="J307" s="533"/>
      <c r="K307" s="533"/>
      <c r="L307" s="533"/>
      <c r="M307" s="533"/>
      <c r="N307" s="533"/>
      <c r="O307" s="53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c r="AP307" s="533"/>
      <c r="AQ307" s="533"/>
      <c r="AR307" s="533"/>
      <c r="AS307" s="533"/>
      <c r="AT307" s="533"/>
      <c r="AU307" s="533"/>
      <c r="AV307" s="533"/>
      <c r="AW307" s="533"/>
    </row>
    <row r="308" spans="1:49" s="106" customFormat="1" ht="15.95" hidden="1" outlineLevel="2">
      <c r="B308" s="967" t="s">
        <v>239</v>
      </c>
      <c r="C308" s="987">
        <f>INDEX('Drop Down Lists'!$D$2:$D$11,MATCH('Building Info &amp; Assumptions'!B289,'Drop Down Lists'!$C$2:$C$11,0))</f>
        <v>0</v>
      </c>
      <c r="F308" s="533"/>
      <c r="G308" s="533"/>
      <c r="H308" s="533"/>
      <c r="I308" s="533"/>
      <c r="J308" s="533"/>
      <c r="K308" s="533"/>
      <c r="L308" s="533"/>
      <c r="M308" s="533"/>
      <c r="N308" s="533"/>
      <c r="O308" s="533"/>
      <c r="P308" s="533"/>
      <c r="Q308" s="533"/>
      <c r="R308" s="533"/>
      <c r="S308" s="533"/>
      <c r="T308" s="533"/>
      <c r="U308" s="533"/>
      <c r="V308" s="533"/>
      <c r="W308" s="533"/>
      <c r="X308" s="533"/>
      <c r="Y308" s="533"/>
      <c r="Z308" s="533"/>
      <c r="AA308" s="533"/>
      <c r="AB308" s="533"/>
      <c r="AC308" s="533"/>
      <c r="AD308" s="533"/>
      <c r="AE308" s="533"/>
      <c r="AF308" s="533"/>
      <c r="AG308" s="533"/>
      <c r="AH308" s="533"/>
      <c r="AI308" s="533"/>
      <c r="AJ308" s="533"/>
      <c r="AK308" s="533"/>
      <c r="AL308" s="533"/>
      <c r="AM308" s="533"/>
      <c r="AN308" s="533"/>
      <c r="AO308" s="533"/>
      <c r="AP308" s="533"/>
      <c r="AQ308" s="533"/>
      <c r="AR308" s="533"/>
      <c r="AS308" s="533"/>
      <c r="AT308" s="533"/>
      <c r="AU308" s="533"/>
      <c r="AV308" s="533"/>
      <c r="AW308" s="533"/>
    </row>
    <row r="309" spans="1:49" s="106" customFormat="1" ht="15.95" hidden="1" outlineLevel="2">
      <c r="B309" s="971" t="s">
        <v>241</v>
      </c>
      <c r="C309" s="792">
        <f>IFERROR(INDEX(EnergyConversionRates,MATCH('Building Info &amp; Assumptions'!C308,EnergyUnits,0)),0)</f>
        <v>0</v>
      </c>
      <c r="F309" s="533"/>
      <c r="G309" s="533"/>
      <c r="H309" s="533"/>
      <c r="I309" s="533"/>
      <c r="J309" s="533"/>
      <c r="K309" s="533"/>
      <c r="L309" s="533"/>
      <c r="M309" s="533"/>
      <c r="N309" s="533"/>
      <c r="O309" s="533"/>
      <c r="P309" s="533"/>
      <c r="Q309" s="533"/>
      <c r="R309" s="533"/>
      <c r="S309" s="533"/>
      <c r="T309" s="533"/>
      <c r="U309" s="533"/>
      <c r="V309" s="533"/>
      <c r="W309" s="533"/>
      <c r="X309" s="533"/>
      <c r="Y309" s="533"/>
      <c r="Z309" s="533"/>
      <c r="AA309" s="533"/>
      <c r="AB309" s="533"/>
      <c r="AC309" s="533"/>
      <c r="AD309" s="533"/>
      <c r="AE309" s="533"/>
      <c r="AF309" s="533"/>
      <c r="AG309" s="533"/>
      <c r="AH309" s="533"/>
      <c r="AI309" s="533"/>
      <c r="AJ309" s="533"/>
      <c r="AK309" s="533"/>
      <c r="AL309" s="533"/>
      <c r="AM309" s="533"/>
      <c r="AN309" s="533"/>
      <c r="AO309" s="533"/>
      <c r="AP309" s="533"/>
      <c r="AQ309" s="533"/>
      <c r="AR309" s="533"/>
      <c r="AS309" s="533"/>
      <c r="AT309" s="533"/>
      <c r="AU309" s="533"/>
      <c r="AV309" s="533"/>
      <c r="AW309" s="533"/>
    </row>
    <row r="310" spans="1:49" s="106" customFormat="1" ht="15.95" hidden="1" outlineLevel="2">
      <c r="B310" s="971" t="s">
        <v>252</v>
      </c>
      <c r="C310" s="991">
        <f>IFERROR(E305/D305,0)</f>
        <v>0</v>
      </c>
      <c r="F310" s="533"/>
      <c r="G310" s="533"/>
      <c r="H310" s="533"/>
      <c r="I310" s="533"/>
      <c r="J310" s="533"/>
      <c r="K310" s="533"/>
      <c r="L310" s="533"/>
      <c r="M310" s="533"/>
      <c r="N310" s="533"/>
      <c r="O310" s="533"/>
      <c r="P310" s="533"/>
      <c r="Q310" s="533"/>
      <c r="R310" s="533"/>
      <c r="S310" s="533"/>
      <c r="T310" s="533"/>
      <c r="U310" s="533"/>
      <c r="V310" s="533"/>
      <c r="W310" s="533"/>
      <c r="X310" s="533"/>
      <c r="Y310" s="533"/>
      <c r="Z310" s="533"/>
      <c r="AA310" s="533"/>
      <c r="AB310" s="533"/>
      <c r="AC310" s="533"/>
      <c r="AD310" s="533"/>
      <c r="AE310" s="533"/>
      <c r="AF310" s="533"/>
      <c r="AG310" s="533"/>
      <c r="AH310" s="533"/>
      <c r="AI310" s="533"/>
      <c r="AJ310" s="533"/>
      <c r="AK310" s="533"/>
      <c r="AL310" s="533"/>
      <c r="AM310" s="533"/>
      <c r="AN310" s="533"/>
      <c r="AO310" s="533"/>
      <c r="AP310" s="533"/>
      <c r="AQ310" s="533"/>
      <c r="AR310" s="533"/>
      <c r="AS310" s="533"/>
      <c r="AT310" s="533"/>
      <c r="AU310" s="533"/>
      <c r="AV310" s="533"/>
      <c r="AW310" s="533"/>
    </row>
    <row r="311" spans="1:49" s="533" customFormat="1" hidden="1" outlineLevel="2"/>
    <row r="312" spans="1:49" s="533" customFormat="1" outlineLevel="1" collapsed="1">
      <c r="A312" s="836" t="str">
        <f>A134</f>
        <v>Utility #8</v>
      </c>
      <c r="B312" s="811" t="str">
        <f>C133</f>
        <v>Select Metered Energy Type</v>
      </c>
      <c r="C312" s="106"/>
      <c r="D312" s="106"/>
      <c r="E312" s="106"/>
    </row>
    <row r="313" spans="1:49" s="533" customFormat="1" outlineLevel="1">
      <c r="A313" s="836"/>
      <c r="B313" s="811"/>
      <c r="C313" s="106"/>
      <c r="D313" s="106"/>
      <c r="E313" s="106"/>
    </row>
    <row r="314" spans="1:49" s="533" customFormat="1" ht="15.95" hidden="1" outlineLevel="2" thickBot="1">
      <c r="A314" s="822" t="str">
        <f>"MAIN DATA FOR ANALYSIS - "&amp;B312</f>
        <v>MAIN DATA FOR ANALYSIS - Select Metered Energy Type</v>
      </c>
      <c r="B314" s="822"/>
      <c r="C314" s="822"/>
      <c r="D314" s="822"/>
      <c r="E314" s="822"/>
    </row>
    <row r="315" spans="1:49" s="533" customFormat="1" ht="32.1" hidden="1" outlineLevel="2">
      <c r="A315" s="222" t="s">
        <v>232</v>
      </c>
      <c r="B315" s="222" t="s">
        <v>233</v>
      </c>
      <c r="C315" s="222" t="s">
        <v>234</v>
      </c>
      <c r="D315" s="980" t="str">
        <f>$B$312&amp;" Use ("&amp;$C$331&amp;")"</f>
        <v>Select Metered Energy Type Use (0)</v>
      </c>
      <c r="E315" s="222" t="str">
        <f>$B$312&amp;" Cost ($)"</f>
        <v>Select Metered Energy Type Cost ($)</v>
      </c>
    </row>
    <row r="316" spans="1:49" s="533" customFormat="1" hidden="1" outlineLevel="2">
      <c r="A316" s="535">
        <v>43101</v>
      </c>
      <c r="B316" s="535">
        <f>A316+30</f>
        <v>43131</v>
      </c>
      <c r="C316" s="956">
        <f>B316-A316</f>
        <v>30</v>
      </c>
      <c r="D316" s="996"/>
      <c r="E316" s="996"/>
    </row>
    <row r="317" spans="1:49" s="533" customFormat="1" hidden="1" outlineLevel="2">
      <c r="A317" s="535">
        <f>B316+1</f>
        <v>43132</v>
      </c>
      <c r="B317" s="535">
        <f>A317+30</f>
        <v>43162</v>
      </c>
      <c r="C317" s="956">
        <f t="shared" ref="C317:C327" si="28">B317-A317+IF(A317=B316,0,1)</f>
        <v>31</v>
      </c>
      <c r="D317" s="996"/>
      <c r="E317" s="996"/>
    </row>
    <row r="318" spans="1:49" s="533" customFormat="1" hidden="1" outlineLevel="2">
      <c r="A318" s="535">
        <f t="shared" ref="A318:A327" si="29">B317+1</f>
        <v>43163</v>
      </c>
      <c r="B318" s="535">
        <f t="shared" ref="B318:B326" si="30">A318+30</f>
        <v>43193</v>
      </c>
      <c r="C318" s="956">
        <f t="shared" si="28"/>
        <v>31</v>
      </c>
      <c r="D318" s="996"/>
      <c r="E318" s="996"/>
    </row>
    <row r="319" spans="1:49" s="533" customFormat="1" hidden="1" outlineLevel="2">
      <c r="A319" s="535">
        <f t="shared" si="29"/>
        <v>43194</v>
      </c>
      <c r="B319" s="535">
        <f t="shared" si="30"/>
        <v>43224</v>
      </c>
      <c r="C319" s="956">
        <f t="shared" si="28"/>
        <v>31</v>
      </c>
      <c r="D319" s="996"/>
      <c r="E319" s="996"/>
    </row>
    <row r="320" spans="1:49" s="533" customFormat="1" hidden="1" outlineLevel="2">
      <c r="A320" s="535">
        <f t="shared" si="29"/>
        <v>43225</v>
      </c>
      <c r="B320" s="535">
        <f t="shared" si="30"/>
        <v>43255</v>
      </c>
      <c r="C320" s="956">
        <f t="shared" si="28"/>
        <v>31</v>
      </c>
      <c r="D320" s="996"/>
      <c r="E320" s="996"/>
    </row>
    <row r="321" spans="1:5" s="533" customFormat="1" hidden="1" outlineLevel="2">
      <c r="A321" s="535">
        <f t="shared" si="29"/>
        <v>43256</v>
      </c>
      <c r="B321" s="535">
        <f t="shared" si="30"/>
        <v>43286</v>
      </c>
      <c r="C321" s="956">
        <f t="shared" si="28"/>
        <v>31</v>
      </c>
      <c r="D321" s="996"/>
      <c r="E321" s="996"/>
    </row>
    <row r="322" spans="1:5" s="533" customFormat="1" hidden="1" outlineLevel="2">
      <c r="A322" s="535">
        <f t="shared" si="29"/>
        <v>43287</v>
      </c>
      <c r="B322" s="535">
        <f t="shared" si="30"/>
        <v>43317</v>
      </c>
      <c r="C322" s="956">
        <f t="shared" si="28"/>
        <v>31</v>
      </c>
      <c r="D322" s="996"/>
      <c r="E322" s="996"/>
    </row>
    <row r="323" spans="1:5" s="533" customFormat="1" hidden="1" outlineLevel="2">
      <c r="A323" s="535">
        <f t="shared" si="29"/>
        <v>43318</v>
      </c>
      <c r="B323" s="535">
        <f t="shared" si="30"/>
        <v>43348</v>
      </c>
      <c r="C323" s="956">
        <f t="shared" si="28"/>
        <v>31</v>
      </c>
      <c r="D323" s="996"/>
      <c r="E323" s="996"/>
    </row>
    <row r="324" spans="1:5" s="533" customFormat="1" hidden="1" outlineLevel="2">
      <c r="A324" s="535">
        <f t="shared" si="29"/>
        <v>43349</v>
      </c>
      <c r="B324" s="535">
        <f t="shared" si="30"/>
        <v>43379</v>
      </c>
      <c r="C324" s="956">
        <f t="shared" si="28"/>
        <v>31</v>
      </c>
      <c r="D324" s="996"/>
      <c r="E324" s="996"/>
    </row>
    <row r="325" spans="1:5" s="533" customFormat="1" hidden="1" outlineLevel="2">
      <c r="A325" s="535">
        <f t="shared" si="29"/>
        <v>43380</v>
      </c>
      <c r="B325" s="535">
        <f t="shared" si="30"/>
        <v>43410</v>
      </c>
      <c r="C325" s="956">
        <f t="shared" si="28"/>
        <v>31</v>
      </c>
      <c r="D325" s="996"/>
      <c r="E325" s="996"/>
    </row>
    <row r="326" spans="1:5" s="533" customFormat="1" hidden="1" outlineLevel="2">
      <c r="A326" s="535">
        <f t="shared" si="29"/>
        <v>43411</v>
      </c>
      <c r="B326" s="535">
        <f t="shared" si="30"/>
        <v>43441</v>
      </c>
      <c r="C326" s="956">
        <f t="shared" si="28"/>
        <v>31</v>
      </c>
      <c r="D326" s="996"/>
      <c r="E326" s="996"/>
    </row>
    <row r="327" spans="1:5" s="533" customFormat="1" hidden="1" outlineLevel="2">
      <c r="A327" s="535">
        <f t="shared" si="29"/>
        <v>43442</v>
      </c>
      <c r="B327" s="535">
        <f>A327+24</f>
        <v>43466</v>
      </c>
      <c r="C327" s="956">
        <f t="shared" si="28"/>
        <v>25</v>
      </c>
      <c r="D327" s="996"/>
      <c r="E327" s="996"/>
    </row>
    <row r="328" spans="1:5" s="533" customFormat="1" hidden="1" outlineLevel="2">
      <c r="A328" s="985" t="s">
        <v>235</v>
      </c>
      <c r="B328" s="985"/>
      <c r="C328" s="956">
        <f>SUM(C316:C327)</f>
        <v>365</v>
      </c>
      <c r="D328" s="961">
        <f>SUM(D316:D327)</f>
        <v>0</v>
      </c>
      <c r="E328" s="986">
        <f>SUM(E316:E327)</f>
        <v>0</v>
      </c>
    </row>
    <row r="329" spans="1:5" s="533" customFormat="1" hidden="1" outlineLevel="2">
      <c r="A329" s="223"/>
      <c r="B329" s="223"/>
      <c r="C329" s="100"/>
      <c r="D329" s="350"/>
      <c r="E329" s="181"/>
    </row>
    <row r="330" spans="1:5" s="533" customFormat="1" hidden="1" outlineLevel="2">
      <c r="A330" s="106"/>
      <c r="B330" s="106"/>
      <c r="C330" s="106"/>
      <c r="D330" s="106"/>
      <c r="E330" s="106"/>
    </row>
    <row r="331" spans="1:5" s="533" customFormat="1" ht="15.95" hidden="1" outlineLevel="2">
      <c r="A331" s="106"/>
      <c r="B331" s="967" t="s">
        <v>239</v>
      </c>
      <c r="C331" s="987">
        <f>INDEX('Drop Down Lists'!$D$2:$D$11,MATCH('Building Info &amp; Assumptions'!B312,'Drop Down Lists'!$C$2:$C$11,0))</f>
        <v>0</v>
      </c>
      <c r="D331" s="106"/>
      <c r="E331" s="106"/>
    </row>
    <row r="332" spans="1:5" s="533" customFormat="1" ht="15.95" hidden="1" outlineLevel="2">
      <c r="A332" s="106"/>
      <c r="B332" s="971" t="s">
        <v>241</v>
      </c>
      <c r="C332" s="792">
        <f>IFERROR(INDEX(EnergyConversionRates,MATCH('Building Info &amp; Assumptions'!C331,EnergyUnits,0)),0)</f>
        <v>0</v>
      </c>
      <c r="D332" s="106"/>
      <c r="E332" s="106"/>
    </row>
    <row r="333" spans="1:5" s="533" customFormat="1" ht="15.95" hidden="1" outlineLevel="2">
      <c r="A333" s="106"/>
      <c r="B333" s="971" t="s">
        <v>252</v>
      </c>
      <c r="C333" s="991">
        <f>IFERROR(E328/D328,0)</f>
        <v>0</v>
      </c>
      <c r="D333" s="106"/>
      <c r="E333" s="106"/>
    </row>
    <row r="334" spans="1:5" s="533" customFormat="1" outlineLevel="1" collapsed="1">
      <c r="A334" s="106"/>
      <c r="B334" s="193"/>
      <c r="C334" s="514"/>
      <c r="D334" s="106"/>
      <c r="E334" s="106"/>
    </row>
    <row r="335" spans="1:5" s="106" customFormat="1" ht="14.45" customHeight="1" outlineLevel="1"/>
    <row r="336" spans="1:5" s="106" customFormat="1" outlineLevel="1"/>
    <row r="337" spans="1:21" s="106" customFormat="1" outlineLevel="1">
      <c r="A337" s="516"/>
      <c r="B337" s="516"/>
      <c r="C337" s="516"/>
      <c r="D337" s="516"/>
      <c r="E337" s="516"/>
      <c r="F337" s="516"/>
    </row>
    <row r="338" spans="1:21" s="106" customFormat="1" ht="18.95">
      <c r="A338" s="856" t="s">
        <v>254</v>
      </c>
      <c r="B338" s="856"/>
      <c r="C338" s="856"/>
      <c r="D338" s="856"/>
      <c r="E338" s="856"/>
      <c r="F338" s="856"/>
      <c r="G338" s="530"/>
      <c r="H338" s="530"/>
      <c r="I338" s="530"/>
      <c r="J338" s="530"/>
      <c r="K338" s="530"/>
      <c r="L338" s="530"/>
      <c r="M338" s="530"/>
      <c r="N338" s="530"/>
      <c r="O338" s="530"/>
      <c r="P338" s="530"/>
      <c r="Q338" s="530"/>
      <c r="R338" s="119"/>
      <c r="S338" s="119"/>
      <c r="T338" s="119"/>
      <c r="U338" s="119"/>
    </row>
    <row r="339" spans="1:21" s="106" customFormat="1" hidden="1" outlineLevel="1">
      <c r="B339" s="518"/>
      <c r="C339" s="518"/>
      <c r="D339" s="518"/>
      <c r="E339" s="518"/>
      <c r="F339" s="189"/>
      <c r="G339" s="189"/>
      <c r="H339" s="189"/>
      <c r="I339" s="531"/>
      <c r="J339" s="119"/>
      <c r="K339" s="119"/>
      <c r="L339" s="119"/>
      <c r="M339" s="119"/>
      <c r="N339" s="119"/>
      <c r="O339" s="119"/>
      <c r="P339" s="119"/>
      <c r="Q339" s="119"/>
      <c r="R339" s="119"/>
      <c r="S339" s="119"/>
      <c r="T339" s="119"/>
      <c r="U339" s="119"/>
    </row>
    <row r="340" spans="1:21" s="106" customFormat="1" ht="14.45" hidden="1" customHeight="1" outlineLevel="1">
      <c r="A340" s="857" t="s">
        <v>255</v>
      </c>
      <c r="B340" s="858"/>
      <c r="C340" s="858"/>
      <c r="D340" s="858"/>
      <c r="E340" s="858"/>
      <c r="F340" s="859"/>
      <c r="G340" s="518"/>
      <c r="H340" s="189"/>
      <c r="I340" s="531"/>
      <c r="J340" s="119"/>
      <c r="K340" s="119"/>
      <c r="L340" s="119"/>
      <c r="M340" s="119"/>
      <c r="N340" s="119"/>
      <c r="O340" s="119"/>
      <c r="P340" s="119"/>
      <c r="Q340" s="119"/>
      <c r="R340" s="119"/>
      <c r="S340" s="119"/>
      <c r="T340" s="119"/>
      <c r="U340" s="119"/>
    </row>
    <row r="341" spans="1:21" s="106" customFormat="1" hidden="1" outlineLevel="1">
      <c r="A341" s="860"/>
      <c r="B341" s="861"/>
      <c r="C341" s="861"/>
      <c r="D341" s="861"/>
      <c r="E341" s="861"/>
      <c r="F341" s="862"/>
      <c r="G341" s="518"/>
      <c r="H341" s="189"/>
      <c r="I341" s="531"/>
      <c r="J341" s="119"/>
      <c r="K341" s="119"/>
      <c r="L341" s="119"/>
      <c r="M341" s="119"/>
      <c r="N341" s="119"/>
      <c r="O341" s="119"/>
      <c r="P341" s="119"/>
      <c r="Q341" s="119"/>
      <c r="R341" s="119"/>
      <c r="S341" s="119"/>
      <c r="T341" s="119"/>
      <c r="U341" s="119"/>
    </row>
    <row r="342" spans="1:21" s="106" customFormat="1" hidden="1" outlineLevel="1">
      <c r="A342" s="189"/>
      <c r="B342" s="189"/>
      <c r="C342" s="189"/>
      <c r="D342" s="189"/>
      <c r="E342" s="189"/>
      <c r="F342" s="189"/>
      <c r="G342" s="189"/>
      <c r="H342" s="189"/>
      <c r="I342" s="531"/>
      <c r="J342" s="119"/>
      <c r="K342" s="119"/>
      <c r="L342" s="119"/>
      <c r="M342" s="119"/>
      <c r="N342" s="119"/>
      <c r="O342" s="119"/>
      <c r="P342" s="119"/>
      <c r="Q342" s="119"/>
      <c r="R342" s="119"/>
      <c r="S342" s="119"/>
      <c r="T342" s="119"/>
      <c r="U342" s="119"/>
    </row>
    <row r="343" spans="1:21" s="106" customFormat="1" ht="15.95" hidden="1" outlineLevel="1">
      <c r="A343" s="517" t="s">
        <v>256</v>
      </c>
      <c r="B343" s="189"/>
      <c r="C343" s="189"/>
      <c r="D343" s="189"/>
      <c r="E343" s="189"/>
      <c r="F343" s="189"/>
      <c r="G343" s="189"/>
      <c r="H343" s="189"/>
      <c r="I343" s="531"/>
      <c r="J343" s="119"/>
      <c r="K343" s="119"/>
      <c r="L343" s="119"/>
      <c r="M343" s="119"/>
      <c r="N343" s="119"/>
      <c r="O343" s="119"/>
      <c r="P343" s="119"/>
      <c r="Q343" s="119"/>
      <c r="R343" s="119"/>
      <c r="S343" s="119"/>
      <c r="T343" s="119"/>
      <c r="U343" s="119"/>
    </row>
    <row r="344" spans="1:21" s="106" customFormat="1" hidden="1" outlineLevel="1">
      <c r="A344" s="189"/>
      <c r="B344" s="518"/>
      <c r="C344" s="518"/>
      <c r="D344" s="518"/>
      <c r="E344" s="518"/>
      <c r="F344" s="189"/>
      <c r="G344" s="189"/>
      <c r="H344" s="92"/>
      <c r="I344" s="189"/>
      <c r="J344" s="119"/>
      <c r="K344" s="119"/>
      <c r="L344" s="119"/>
      <c r="M344" s="119"/>
      <c r="N344" s="119"/>
      <c r="O344" s="119"/>
      <c r="P344" s="119"/>
      <c r="Q344" s="119"/>
      <c r="R344" s="119"/>
      <c r="S344" s="119"/>
      <c r="T344" s="119"/>
      <c r="U344" s="119"/>
    </row>
    <row r="345" spans="1:21" s="106" customFormat="1" ht="15.95" hidden="1" outlineLevel="1">
      <c r="A345" s="517" t="s">
        <v>257</v>
      </c>
      <c r="B345" s="189"/>
      <c r="C345" s="189"/>
      <c r="D345" s="189"/>
      <c r="E345" s="189"/>
      <c r="F345" s="189"/>
      <c r="G345" s="518"/>
      <c r="H345" s="35"/>
      <c r="I345" s="189"/>
      <c r="J345" s="119"/>
      <c r="K345" s="119"/>
      <c r="L345" s="119"/>
      <c r="M345" s="119"/>
      <c r="N345" s="119"/>
      <c r="O345" s="119"/>
      <c r="P345" s="119"/>
      <c r="Q345" s="119"/>
      <c r="R345" s="119"/>
      <c r="S345" s="119"/>
      <c r="T345" s="119"/>
      <c r="U345" s="119"/>
    </row>
    <row r="346" spans="1:21" s="106" customFormat="1" ht="17.100000000000001" hidden="1" outlineLevel="1" thickBot="1">
      <c r="A346" s="519" t="s">
        <v>258</v>
      </c>
      <c r="B346" s="520" t="s">
        <v>259</v>
      </c>
      <c r="C346" s="520" t="s">
        <v>239</v>
      </c>
      <c r="D346" s="520" t="s">
        <v>260</v>
      </c>
      <c r="E346" s="520" t="s">
        <v>261</v>
      </c>
      <c r="F346" s="520" t="s">
        <v>262</v>
      </c>
      <c r="G346" s="189"/>
      <c r="H346" s="189"/>
      <c r="I346" s="189"/>
      <c r="J346" s="119"/>
      <c r="K346" s="119"/>
      <c r="L346" s="119"/>
      <c r="M346" s="119"/>
      <c r="N346" s="119"/>
      <c r="O346" s="119"/>
      <c r="P346" s="119"/>
      <c r="Q346" s="119"/>
      <c r="R346" s="531"/>
      <c r="S346" s="119"/>
      <c r="T346" s="119"/>
      <c r="U346" s="119"/>
    </row>
    <row r="347" spans="1:21" s="106" customFormat="1" ht="15.95" hidden="1" outlineLevel="1">
      <c r="A347" s="521" t="s">
        <v>110</v>
      </c>
      <c r="B347" s="590">
        <f>IFERROR(IF($B144=A347,$D$160,0)*365/$C$160+
IF($B$193=A347,$D$160,0)*365/$C$160,0)</f>
        <v>49400000</v>
      </c>
      <c r="C347" s="521" t="s">
        <v>263</v>
      </c>
      <c r="D347" s="522">
        <f t="shared" ref="D347:D354" si="31">IF(OR(B347="",C347=""),"",INDEX(EnergyConversionRates,MATCH(C347,EnergyUnits,0)))</f>
        <v>3.4119999999999999</v>
      </c>
      <c r="E347" s="591">
        <f>IF(OR(B347="",D347=""),"",B347*D347)</f>
        <v>168552800</v>
      </c>
      <c r="F347" s="523">
        <f>H160</f>
        <v>6864000</v>
      </c>
      <c r="G347" s="189"/>
      <c r="H347" s="189"/>
      <c r="I347" s="189"/>
      <c r="J347" s="119"/>
      <c r="K347" s="119"/>
      <c r="L347" s="119"/>
      <c r="M347" s="119"/>
      <c r="N347" s="119"/>
      <c r="O347" s="119"/>
      <c r="P347" s="119"/>
      <c r="Q347" s="119"/>
      <c r="R347" s="531"/>
      <c r="S347" s="119"/>
      <c r="T347" s="119"/>
      <c r="U347" s="119"/>
    </row>
    <row r="348" spans="1:21" s="106" customFormat="1" ht="15.95" hidden="1" outlineLevel="1">
      <c r="A348" s="997" t="s">
        <v>182</v>
      </c>
      <c r="B348" s="741">
        <f>IFERROR(IF($B170=A348,$D$186,0)*365/$C$186+
IF($B$193=A348,$D$186,0)*365/$C$186,0)</f>
        <v>0</v>
      </c>
      <c r="C348" s="997" t="s">
        <v>264</v>
      </c>
      <c r="D348" s="522">
        <f t="shared" si="31"/>
        <v>100</v>
      </c>
      <c r="E348" s="591">
        <f>IF(OR(B348="",D348=""),"",B348*D348)</f>
        <v>0</v>
      </c>
      <c r="F348" s="998">
        <f>E186</f>
        <v>0</v>
      </c>
      <c r="G348" s="189"/>
      <c r="H348" s="189"/>
      <c r="I348" s="189"/>
      <c r="J348" s="119"/>
      <c r="K348" s="119"/>
      <c r="L348" s="119"/>
      <c r="M348" s="119"/>
      <c r="N348" s="119"/>
      <c r="O348" s="119"/>
      <c r="P348" s="119"/>
      <c r="Q348" s="119"/>
      <c r="R348" s="531"/>
      <c r="S348" s="119"/>
      <c r="T348" s="119"/>
      <c r="U348" s="119"/>
    </row>
    <row r="349" spans="1:21" s="106" customFormat="1" ht="15.95" hidden="1" outlineLevel="1">
      <c r="A349" s="997" t="s">
        <v>220</v>
      </c>
      <c r="B349" s="590">
        <f>IFERROR(IF($B193=A349,$D$209,0)*365/$C$209+
IF($G$196=A349,$D$209,0)*365/$C$209,0)</f>
        <v>91000000</v>
      </c>
      <c r="C349" s="997" t="s">
        <v>265</v>
      </c>
      <c r="D349" s="522">
        <f t="shared" si="31"/>
        <v>1.194</v>
      </c>
      <c r="E349" s="591">
        <f>IF(OR(B349="",D349=""),"",B349*D349)</f>
        <v>108654000</v>
      </c>
      <c r="F349" s="998">
        <f>E209</f>
        <v>3640000</v>
      </c>
      <c r="G349" s="189"/>
      <c r="H349" s="189"/>
      <c r="I349" s="189"/>
      <c r="J349" s="119"/>
      <c r="K349" s="119"/>
      <c r="L349" s="119"/>
      <c r="M349" s="119"/>
      <c r="N349" s="119"/>
      <c r="O349" s="119"/>
      <c r="P349" s="119"/>
      <c r="Q349" s="119"/>
      <c r="R349" s="531"/>
      <c r="S349" s="119"/>
      <c r="T349" s="119"/>
      <c r="U349" s="119"/>
    </row>
    <row r="350" spans="1:21" s="106" customFormat="1" ht="15.95" hidden="1" outlineLevel="1">
      <c r="A350" s="997" t="s">
        <v>222</v>
      </c>
      <c r="B350" s="999">
        <f>IFERROR(IF($B217=A350,$D$233,0)*365/$C$233+
IF($G$196=A350,$D$233,0)*365/$C$233,0)</f>
        <v>0</v>
      </c>
      <c r="C350" s="997" t="s">
        <v>266</v>
      </c>
      <c r="D350" s="522">
        <f t="shared" si="31"/>
        <v>1000</v>
      </c>
      <c r="E350" s="591">
        <f t="shared" ref="E350:E354" si="32">IF(OR(B350="",D350=""),"",B350*D350)</f>
        <v>0</v>
      </c>
      <c r="F350" s="998">
        <v>0</v>
      </c>
      <c r="G350" s="189"/>
      <c r="H350" s="189"/>
      <c r="I350" s="189"/>
      <c r="J350" s="119"/>
      <c r="K350" s="119"/>
      <c r="L350" s="119"/>
      <c r="M350" s="119"/>
      <c r="N350" s="119"/>
      <c r="O350" s="119"/>
      <c r="P350" s="119"/>
      <c r="Q350" s="119"/>
      <c r="R350" s="119"/>
      <c r="S350" s="119"/>
      <c r="T350" s="119"/>
      <c r="U350" s="119"/>
    </row>
    <row r="351" spans="1:21" s="106" customFormat="1" ht="15.95" hidden="1" outlineLevel="1">
      <c r="A351" s="997" t="s">
        <v>224</v>
      </c>
      <c r="B351" s="999">
        <f>IFERROR(IF($B241=A351,$D$257,0)*365/$C$257+
IF($G$196=A351,$D$257,0)*365/$C$257,0)</f>
        <v>0</v>
      </c>
      <c r="C351" s="997" t="s">
        <v>266</v>
      </c>
      <c r="D351" s="522">
        <f>IF(OR(B351="",C351=""),"",INDEX(EnergyConversionRates,MATCH(C351,EnergyUnits,0)))</f>
        <v>1000</v>
      </c>
      <c r="E351" s="591">
        <f>IF(OR(B351="",D351=""),"",B351*D351)</f>
        <v>0</v>
      </c>
      <c r="F351" s="998">
        <v>0</v>
      </c>
      <c r="G351" s="189"/>
      <c r="H351" s="189"/>
      <c r="I351" s="189"/>
      <c r="J351" s="92"/>
      <c r="K351" s="92"/>
      <c r="L351" s="92"/>
      <c r="M351" s="92"/>
      <c r="N351" s="119"/>
      <c r="O351" s="119"/>
      <c r="P351" s="119"/>
      <c r="Q351" s="119"/>
      <c r="R351" s="119"/>
      <c r="S351" s="119"/>
      <c r="T351" s="119"/>
      <c r="U351" s="119"/>
    </row>
    <row r="352" spans="1:21" s="106" customFormat="1" ht="15.95" hidden="1" outlineLevel="1">
      <c r="A352" s="997" t="s">
        <v>116</v>
      </c>
      <c r="B352" s="999">
        <f>IFERROR(IF($B265=A352,$D$281,0)*365/$C$281+
IF($G$196=A352,$D$281,0)*365/$C$281,0)</f>
        <v>0</v>
      </c>
      <c r="C352" s="997" t="s">
        <v>267</v>
      </c>
      <c r="D352" s="522">
        <f t="shared" si="31"/>
        <v>139</v>
      </c>
      <c r="E352" s="591">
        <f t="shared" si="32"/>
        <v>0</v>
      </c>
      <c r="F352" s="998">
        <v>0</v>
      </c>
      <c r="G352" s="189"/>
      <c r="H352" s="189"/>
      <c r="I352" s="189"/>
      <c r="J352" s="119"/>
      <c r="K352" s="119"/>
      <c r="L352" s="119"/>
      <c r="M352" s="119"/>
      <c r="N352" s="119"/>
      <c r="O352" s="119"/>
      <c r="P352" s="119"/>
      <c r="Q352" s="119"/>
      <c r="R352" s="119"/>
      <c r="S352" s="119"/>
      <c r="T352" s="119"/>
      <c r="U352" s="119"/>
    </row>
    <row r="353" spans="1:21" s="106" customFormat="1" ht="15.95" hidden="1" outlineLevel="1">
      <c r="A353" s="1000" t="s">
        <v>268</v>
      </c>
      <c r="B353" s="999">
        <v>0</v>
      </c>
      <c r="C353" s="997" t="s">
        <v>269</v>
      </c>
      <c r="D353" s="522">
        <f t="shared" si="31"/>
        <v>92</v>
      </c>
      <c r="E353" s="591">
        <f t="shared" si="32"/>
        <v>0</v>
      </c>
      <c r="F353" s="998">
        <v>0</v>
      </c>
      <c r="G353" s="189"/>
      <c r="H353" s="189"/>
      <c r="I353" s="518"/>
      <c r="J353" s="119"/>
      <c r="K353" s="92"/>
      <c r="L353" s="92"/>
      <c r="M353" s="92"/>
      <c r="N353" s="119"/>
      <c r="O353" s="119"/>
      <c r="P353" s="119"/>
      <c r="Q353" s="119"/>
      <c r="R353" s="119"/>
      <c r="S353" s="119"/>
      <c r="T353" s="119"/>
      <c r="U353" s="119"/>
    </row>
    <row r="354" spans="1:21" s="106" customFormat="1" ht="15.95" hidden="1" outlineLevel="1">
      <c r="A354" s="997" t="s">
        <v>270</v>
      </c>
      <c r="B354" s="999">
        <v>0</v>
      </c>
      <c r="C354" s="997" t="s">
        <v>271</v>
      </c>
      <c r="D354" s="522">
        <f t="shared" si="31"/>
        <v>19622</v>
      </c>
      <c r="E354" s="591">
        <f t="shared" si="32"/>
        <v>0</v>
      </c>
      <c r="F354" s="998">
        <v>0</v>
      </c>
      <c r="G354" s="189"/>
      <c r="H354" s="189"/>
      <c r="I354" s="528"/>
      <c r="J354" s="119"/>
      <c r="K354" s="119"/>
      <c r="L354" s="119"/>
      <c r="M354" s="119"/>
      <c r="N354" s="119"/>
      <c r="O354" s="119"/>
      <c r="P354" s="119"/>
      <c r="Q354" s="119"/>
      <c r="R354" s="119"/>
      <c r="S354" s="119"/>
      <c r="T354" s="119"/>
      <c r="U354" s="119"/>
    </row>
    <row r="355" spans="1:21" s="106" customFormat="1" ht="15.95" hidden="1" outlineLevel="1">
      <c r="A355" s="119"/>
      <c r="B355" s="119"/>
      <c r="C355" s="119"/>
      <c r="D355" s="1001" t="s">
        <v>272</v>
      </c>
      <c r="E355" s="1002">
        <f>SUM(E347:E354)</f>
        <v>277206800</v>
      </c>
      <c r="F355" s="1003">
        <f>SUM(F347:F354)</f>
        <v>10504000</v>
      </c>
      <c r="G355" s="189"/>
      <c r="H355" s="189"/>
      <c r="I355" s="189"/>
      <c r="J355" s="119"/>
      <c r="K355" s="119"/>
      <c r="L355" s="119"/>
      <c r="M355" s="119"/>
      <c r="N355" s="119"/>
      <c r="O355" s="119"/>
      <c r="P355" s="119"/>
      <c r="Q355" s="119"/>
      <c r="R355" s="119"/>
      <c r="S355" s="119"/>
      <c r="T355" s="119"/>
      <c r="U355" s="119"/>
    </row>
    <row r="356" spans="1:21" s="106" customFormat="1" ht="15.95" hidden="1" outlineLevel="1">
      <c r="A356" s="524" t="s">
        <v>273</v>
      </c>
      <c r="B356" s="119"/>
      <c r="C356" s="119"/>
      <c r="D356" s="119"/>
      <c r="E356" s="119"/>
      <c r="F356" s="119"/>
      <c r="G356" s="189"/>
      <c r="H356" s="35"/>
      <c r="I356" s="528"/>
      <c r="J356" s="119"/>
      <c r="K356" s="119"/>
      <c r="L356" s="119"/>
      <c r="M356" s="119"/>
      <c r="N356" s="119"/>
      <c r="O356" s="119"/>
      <c r="P356" s="119"/>
      <c r="Q356" s="119"/>
      <c r="R356" s="119"/>
      <c r="S356" s="119"/>
      <c r="T356" s="119"/>
      <c r="U356" s="119"/>
    </row>
    <row r="357" spans="1:21" s="106" customFormat="1" ht="17.100000000000001" hidden="1" outlineLevel="1" thickBot="1">
      <c r="A357" s="519" t="s">
        <v>258</v>
      </c>
      <c r="B357" s="520" t="s">
        <v>259</v>
      </c>
      <c r="C357" s="520" t="s">
        <v>239</v>
      </c>
      <c r="D357" s="520" t="s">
        <v>260</v>
      </c>
      <c r="E357" s="520" t="s">
        <v>261</v>
      </c>
      <c r="F357" s="520" t="s">
        <v>262</v>
      </c>
      <c r="G357" s="189"/>
      <c r="H357" s="189"/>
      <c r="I357" s="189"/>
      <c r="J357" s="119"/>
      <c r="K357" s="528"/>
      <c r="L357" s="531"/>
      <c r="M357" s="531"/>
      <c r="N357" s="531"/>
      <c r="O357" s="531"/>
      <c r="P357" s="531"/>
      <c r="Q357" s="531"/>
      <c r="R357" s="531"/>
      <c r="S357" s="531"/>
      <c r="T357" s="531"/>
      <c r="U357" s="531"/>
    </row>
    <row r="358" spans="1:21" s="106" customFormat="1" ht="15.95" hidden="1" outlineLevel="1">
      <c r="A358" s="521" t="s">
        <v>274</v>
      </c>
      <c r="B358" s="1004">
        <v>0</v>
      </c>
      <c r="C358" s="1005" t="s">
        <v>266</v>
      </c>
      <c r="D358" s="522">
        <f>IF(OR(B358="",C358=""),"",INDEX(EnergyConversionRates,MATCH(C358,EnergyUnits,0)))</f>
        <v>1000</v>
      </c>
      <c r="E358" s="522">
        <f>IF(OR(B358="",D358=""),"",B358*D358)</f>
        <v>0</v>
      </c>
      <c r="F358" s="523">
        <v>0</v>
      </c>
      <c r="G358" s="189"/>
      <c r="H358" s="189"/>
      <c r="I358" s="189"/>
      <c r="J358" s="119"/>
      <c r="K358" s="528"/>
      <c r="L358" s="531"/>
      <c r="M358" s="531"/>
      <c r="N358" s="531"/>
      <c r="O358" s="531"/>
      <c r="P358" s="531"/>
      <c r="Q358" s="531"/>
      <c r="R358" s="531"/>
      <c r="S358" s="531"/>
      <c r="T358" s="531"/>
      <c r="U358" s="531"/>
    </row>
    <row r="359" spans="1:21" s="106" customFormat="1" ht="15.95" hidden="1" outlineLevel="1">
      <c r="A359" s="997" t="s">
        <v>275</v>
      </c>
      <c r="B359" s="1004">
        <v>0</v>
      </c>
      <c r="C359" s="997" t="s">
        <v>263</v>
      </c>
      <c r="D359" s="522">
        <f>IF(OR(B359="",C359=""),"",INDEX(EnergyConversionRates,MATCH(C359,EnergyUnits,0)))</f>
        <v>3.4119999999999999</v>
      </c>
      <c r="E359" s="522">
        <f>IF(OR(B359="",D359=""),"",B359*D359)</f>
        <v>0</v>
      </c>
      <c r="F359" s="998">
        <v>0</v>
      </c>
      <c r="G359" s="189"/>
      <c r="H359" s="189"/>
      <c r="I359" s="189"/>
      <c r="J359" s="119"/>
      <c r="K359" s="119"/>
      <c r="L359" s="119"/>
      <c r="M359" s="119"/>
      <c r="N359" s="119"/>
      <c r="O359" s="119"/>
      <c r="P359" s="119"/>
      <c r="Q359" s="119"/>
      <c r="R359" s="119"/>
      <c r="S359" s="119"/>
      <c r="T359" s="119"/>
      <c r="U359" s="119"/>
    </row>
    <row r="360" spans="1:21" s="106" customFormat="1" ht="15.95" hidden="1" outlineLevel="1">
      <c r="A360" s="119"/>
      <c r="B360" s="119"/>
      <c r="C360" s="119"/>
      <c r="D360" s="293" t="s">
        <v>276</v>
      </c>
      <c r="E360" s="1006">
        <f>SUM(E358:E359)</f>
        <v>0</v>
      </c>
      <c r="F360" s="1003">
        <f>SUM(F358:F359)</f>
        <v>0</v>
      </c>
      <c r="G360" s="189"/>
      <c r="H360" s="189"/>
      <c r="I360" s="189"/>
      <c r="J360" s="119"/>
      <c r="K360" s="119"/>
      <c r="L360" s="119"/>
      <c r="M360" s="119"/>
      <c r="N360" s="119"/>
      <c r="O360" s="119"/>
      <c r="P360" s="119"/>
      <c r="Q360" s="119"/>
      <c r="R360" s="119"/>
      <c r="S360" s="119"/>
      <c r="T360" s="119"/>
      <c r="U360" s="119"/>
    </row>
    <row r="361" spans="1:21" s="106" customFormat="1" hidden="1" outlineLevel="1">
      <c r="A361" s="119"/>
      <c r="B361" s="119"/>
      <c r="C361" s="119"/>
      <c r="D361" s="293"/>
      <c r="E361" s="525"/>
      <c r="F361" s="525"/>
      <c r="G361" s="532"/>
      <c r="H361" s="189"/>
      <c r="I361" s="189"/>
      <c r="J361" s="119"/>
      <c r="K361" s="119"/>
      <c r="L361" s="119"/>
      <c r="M361" s="119"/>
      <c r="N361" s="119"/>
      <c r="O361" s="119"/>
      <c r="P361" s="119"/>
      <c r="Q361" s="119"/>
      <c r="R361" s="119"/>
      <c r="S361" s="119"/>
      <c r="T361" s="189"/>
      <c r="U361" s="189"/>
    </row>
    <row r="362" spans="1:21" s="106" customFormat="1" ht="15.95" hidden="1" outlineLevel="1">
      <c r="A362" s="517" t="s">
        <v>277</v>
      </c>
      <c r="B362" s="119"/>
      <c r="C362" s="119"/>
      <c r="D362" s="119"/>
      <c r="E362" s="119"/>
      <c r="F362" s="119"/>
      <c r="G362" s="189"/>
      <c r="H362" s="189"/>
      <c r="I362" s="189"/>
      <c r="J362" s="119"/>
      <c r="K362" s="119"/>
      <c r="L362" s="119"/>
      <c r="M362" s="119"/>
      <c r="N362" s="119"/>
      <c r="O362" s="119"/>
      <c r="P362" s="119"/>
      <c r="Q362" s="119"/>
      <c r="R362" s="119"/>
      <c r="S362" s="119"/>
      <c r="T362" s="189"/>
      <c r="U362" s="189"/>
    </row>
    <row r="363" spans="1:21" s="106" customFormat="1" ht="17.100000000000001" hidden="1" outlineLevel="1" thickBot="1">
      <c r="A363" s="519" t="s">
        <v>258</v>
      </c>
      <c r="B363" s="520" t="s">
        <v>259</v>
      </c>
      <c r="C363" s="520" t="s">
        <v>239</v>
      </c>
      <c r="D363" s="520" t="s">
        <v>260</v>
      </c>
      <c r="E363" s="520" t="s">
        <v>261</v>
      </c>
      <c r="F363" s="520" t="s">
        <v>262</v>
      </c>
      <c r="G363" s="189"/>
      <c r="H363" s="189"/>
      <c r="I363" s="189"/>
      <c r="J363" s="119"/>
      <c r="K363" s="119"/>
      <c r="L363" s="119"/>
      <c r="M363" s="119"/>
      <c r="N363" s="119"/>
      <c r="O363" s="119"/>
      <c r="P363" s="119"/>
      <c r="Q363" s="119"/>
      <c r="R363" s="119"/>
      <c r="S363" s="119"/>
      <c r="T363" s="189"/>
      <c r="U363" s="189"/>
    </row>
    <row r="364" spans="1:21" s="106" customFormat="1" ht="15.95" hidden="1" outlineLevel="1">
      <c r="A364" s="521" t="s">
        <v>278</v>
      </c>
      <c r="B364" s="526">
        <v>0</v>
      </c>
      <c r="C364" s="997" t="s">
        <v>266</v>
      </c>
      <c r="D364" s="522">
        <f>IF(OR(B364="",C364=""),"",INDEX(EnergyConversionRates,MATCH(C364,EnergyUnits,0)))</f>
        <v>1000</v>
      </c>
      <c r="E364" s="522">
        <f>IF(OR(B364="",D364=""),"",B364*D364)</f>
        <v>0</v>
      </c>
      <c r="F364" s="523">
        <v>0</v>
      </c>
      <c r="G364" s="189"/>
      <c r="H364" s="189"/>
      <c r="I364" s="189"/>
      <c r="J364" s="189"/>
      <c r="K364" s="189"/>
      <c r="L364" s="189"/>
      <c r="M364" s="189"/>
      <c r="N364" s="189"/>
      <c r="O364" s="189"/>
      <c r="P364" s="189"/>
      <c r="Q364" s="189"/>
      <c r="R364" s="189"/>
      <c r="S364" s="189"/>
      <c r="T364" s="189"/>
      <c r="U364" s="189"/>
    </row>
    <row r="365" spans="1:21" s="106" customFormat="1" ht="15.95" hidden="1" outlineLevel="1">
      <c r="A365" s="997" t="s">
        <v>279</v>
      </c>
      <c r="B365" s="1007">
        <v>0</v>
      </c>
      <c r="C365" s="997" t="s">
        <v>263</v>
      </c>
      <c r="D365" s="522">
        <f>IF(OR(B365="",C365=""),"",INDEX(EnergyConversionRates,MATCH(C365,EnergyUnits,0)))</f>
        <v>3.4119999999999999</v>
      </c>
      <c r="E365" s="522">
        <f>IF(OR(B365="",D365=""),"",B365*D365)</f>
        <v>0</v>
      </c>
      <c r="F365" s="998">
        <v>0</v>
      </c>
      <c r="G365" s="189"/>
      <c r="H365" s="189"/>
      <c r="I365" s="189"/>
      <c r="J365" s="189"/>
      <c r="K365" s="189"/>
      <c r="L365" s="189"/>
      <c r="M365" s="189"/>
      <c r="N365" s="189"/>
      <c r="O365" s="189"/>
      <c r="P365" s="189"/>
      <c r="Q365" s="189"/>
      <c r="R365" s="189"/>
      <c r="S365" s="189"/>
      <c r="T365" s="189"/>
      <c r="U365" s="189"/>
    </row>
    <row r="366" spans="1:21" s="106" customFormat="1" ht="15.95" hidden="1" outlineLevel="1">
      <c r="A366" s="189"/>
      <c r="B366" s="119"/>
      <c r="C366" s="119"/>
      <c r="D366" s="293" t="s">
        <v>280</v>
      </c>
      <c r="E366" s="1006">
        <f>SUM(E364:E365)</f>
        <v>0</v>
      </c>
      <c r="F366" s="1003">
        <f>SUM(F364:F365)</f>
        <v>0</v>
      </c>
      <c r="G366" s="189"/>
      <c r="H366" s="189"/>
      <c r="I366" s="189"/>
      <c r="J366" s="189"/>
      <c r="K366" s="189"/>
      <c r="L366" s="189"/>
      <c r="M366" s="189"/>
      <c r="N366" s="189"/>
      <c r="O366" s="189"/>
      <c r="P366" s="189"/>
      <c r="Q366" s="189"/>
      <c r="R366" s="189"/>
      <c r="S366" s="189"/>
      <c r="T366" s="189"/>
      <c r="U366" s="189"/>
    </row>
    <row r="367" spans="1:21" s="106" customFormat="1" ht="15.95" hidden="1" outlineLevel="1">
      <c r="A367" s="189"/>
      <c r="B367" s="119"/>
      <c r="C367" s="119"/>
      <c r="D367" s="293" t="s">
        <v>281</v>
      </c>
      <c r="E367" s="997">
        <v>0</v>
      </c>
      <c r="F367" s="294" t="s">
        <v>282</v>
      </c>
      <c r="G367" s="189"/>
      <c r="H367" s="189"/>
      <c r="I367" s="189"/>
      <c r="J367" s="189"/>
      <c r="K367" s="189"/>
      <c r="L367" s="189"/>
      <c r="M367" s="189"/>
      <c r="N367" s="189"/>
      <c r="O367" s="189"/>
      <c r="P367" s="189"/>
      <c r="Q367" s="189"/>
      <c r="R367" s="189"/>
      <c r="S367" s="189"/>
      <c r="T367" s="189"/>
      <c r="U367" s="189"/>
    </row>
    <row r="368" spans="1:21" s="106" customFormat="1" hidden="1" outlineLevel="1">
      <c r="A368" s="189"/>
      <c r="B368" s="119"/>
      <c r="C368" s="119"/>
      <c r="D368" s="293"/>
      <c r="E368" s="119"/>
      <c r="F368" s="294"/>
      <c r="G368" s="189"/>
      <c r="H368" s="189"/>
      <c r="I368" s="189"/>
      <c r="J368" s="189"/>
      <c r="K368" s="189"/>
      <c r="L368" s="189"/>
      <c r="M368" s="189"/>
      <c r="N368" s="189"/>
      <c r="O368" s="189"/>
      <c r="P368" s="189"/>
      <c r="Q368" s="189"/>
      <c r="R368" s="189"/>
      <c r="S368" s="189"/>
      <c r="T368" s="189"/>
      <c r="U368" s="189"/>
    </row>
    <row r="369" spans="1:59" s="106" customFormat="1" ht="15.95" hidden="1" outlineLevel="1">
      <c r="A369" s="190" t="s">
        <v>283</v>
      </c>
      <c r="B369" s="119"/>
      <c r="C369" s="119"/>
      <c r="D369" s="528"/>
      <c r="E369" s="528"/>
      <c r="F369" s="528"/>
      <c r="G369" s="189"/>
      <c r="H369" s="189"/>
      <c r="I369" s="189"/>
      <c r="J369" s="189"/>
      <c r="K369" s="189"/>
      <c r="L369" s="189"/>
      <c r="M369" s="189"/>
      <c r="N369" s="189"/>
      <c r="O369" s="189"/>
      <c r="P369" s="189"/>
      <c r="Q369" s="189"/>
      <c r="R369" s="189"/>
      <c r="S369" s="189"/>
      <c r="T369" s="189"/>
      <c r="U369" s="189"/>
    </row>
    <row r="370" spans="1:59" s="106" customFormat="1" ht="32.1" hidden="1" outlineLevel="1">
      <c r="A370" s="527" t="s">
        <v>211</v>
      </c>
      <c r="B370" s="1008" t="str">
        <f>B5</f>
        <v>EBC Typical Applicant Building</v>
      </c>
      <c r="C370" s="119"/>
      <c r="D370" s="119"/>
      <c r="E370" s="119"/>
      <c r="F370" s="119"/>
      <c r="G370" s="189"/>
      <c r="H370" s="189"/>
      <c r="I370" s="189"/>
      <c r="J370" s="189"/>
      <c r="K370" s="37"/>
      <c r="L370" s="189"/>
      <c r="N370" s="189"/>
      <c r="O370" s="189"/>
      <c r="P370" s="189"/>
      <c r="Q370" s="189"/>
      <c r="R370" s="189"/>
      <c r="S370" s="189"/>
      <c r="T370" s="189"/>
      <c r="U370" s="189"/>
    </row>
    <row r="371" spans="1:59" s="106" customFormat="1" ht="15.95" hidden="1" outlineLevel="1">
      <c r="A371" s="527" t="s">
        <v>284</v>
      </c>
      <c r="B371" s="1009">
        <f>B15</f>
        <v>1600000</v>
      </c>
      <c r="C371" s="189"/>
      <c r="D371" s="119"/>
      <c r="E371" s="119"/>
      <c r="F371" s="119"/>
      <c r="G371" s="189"/>
      <c r="H371" s="189"/>
      <c r="I371" s="189"/>
      <c r="J371" s="189"/>
      <c r="K371" s="37"/>
      <c r="L371" s="189"/>
      <c r="N371" s="189"/>
      <c r="O371" s="189"/>
      <c r="P371" s="189"/>
      <c r="Q371" s="189"/>
      <c r="R371" s="189"/>
      <c r="S371" s="189"/>
      <c r="T371" s="189"/>
      <c r="U371" s="189"/>
    </row>
    <row r="372" spans="1:59" s="106" customFormat="1" ht="15.95" hidden="1" outlineLevel="1">
      <c r="A372" s="527" t="s">
        <v>285</v>
      </c>
      <c r="B372" s="1010">
        <f>(E355+E360-E366-E367)/B371</f>
        <v>173.25425000000001</v>
      </c>
      <c r="C372" s="189"/>
      <c r="D372" s="119"/>
      <c r="E372" s="119"/>
      <c r="F372" s="119"/>
      <c r="G372" s="189"/>
      <c r="H372" s="189"/>
      <c r="I372" s="189"/>
      <c r="J372" s="189"/>
      <c r="K372" s="37"/>
      <c r="L372" s="189"/>
      <c r="N372" s="189"/>
      <c r="O372" s="189"/>
      <c r="P372" s="189"/>
      <c r="Q372" s="189"/>
      <c r="R372" s="189"/>
      <c r="S372" s="189"/>
      <c r="T372" s="189"/>
      <c r="U372" s="189"/>
    </row>
    <row r="373" spans="1:59" s="106" customFormat="1" ht="15.95" hidden="1" outlineLevel="1">
      <c r="A373" s="527" t="s">
        <v>286</v>
      </c>
      <c r="B373" s="1010">
        <f>(E355-E366-E367)/B371</f>
        <v>173.25425000000001</v>
      </c>
      <c r="C373" s="189"/>
      <c r="D373" s="119"/>
      <c r="E373" s="778"/>
      <c r="F373" s="119"/>
      <c r="G373" s="189"/>
      <c r="H373" s="189"/>
      <c r="I373" s="189"/>
      <c r="J373" s="189"/>
      <c r="K373" s="37"/>
      <c r="L373" s="189"/>
      <c r="N373" s="189"/>
      <c r="O373" s="189"/>
      <c r="P373" s="189"/>
      <c r="Q373" s="189"/>
      <c r="R373" s="189"/>
      <c r="S373" s="189"/>
      <c r="T373" s="189"/>
      <c r="U373" s="189"/>
    </row>
    <row r="374" spans="1:59" s="106" customFormat="1" ht="15.95" hidden="1" outlineLevel="1">
      <c r="A374" s="527" t="s">
        <v>287</v>
      </c>
      <c r="B374" s="1010">
        <f>(E347-E365)/B371</f>
        <v>105.3455</v>
      </c>
      <c r="C374" s="189"/>
      <c r="D374" s="119"/>
      <c r="E374" s="119"/>
      <c r="F374" s="119"/>
      <c r="G374" s="189"/>
      <c r="H374" s="189"/>
      <c r="I374" s="189"/>
      <c r="J374" s="189"/>
      <c r="K374" s="37"/>
      <c r="L374" s="189"/>
      <c r="N374" s="189"/>
      <c r="O374" s="189"/>
      <c r="P374" s="189"/>
      <c r="Q374" s="189"/>
      <c r="R374" s="189"/>
      <c r="S374" s="189"/>
      <c r="T374" s="189"/>
      <c r="U374" s="189"/>
    </row>
    <row r="375" spans="1:59" s="106" customFormat="1" ht="15.95" hidden="1" outlineLevel="1">
      <c r="A375" s="527" t="s">
        <v>288</v>
      </c>
      <c r="B375" s="1010">
        <f>(E348-E364)/B371</f>
        <v>0</v>
      </c>
      <c r="C375" s="189"/>
      <c r="D375" s="119"/>
      <c r="E375" s="119"/>
      <c r="F375" s="119"/>
      <c r="G375" s="189"/>
      <c r="H375" s="189"/>
      <c r="I375" s="189"/>
      <c r="J375" s="189"/>
      <c r="K375" s="37"/>
      <c r="L375" s="189"/>
      <c r="N375" s="189"/>
      <c r="O375" s="189"/>
      <c r="P375" s="189"/>
      <c r="Q375" s="189"/>
      <c r="R375" s="189"/>
      <c r="S375" s="189"/>
      <c r="T375" s="189"/>
      <c r="U375" s="189"/>
    </row>
    <row r="376" spans="1:59" s="106" customFormat="1" ht="15.95" hidden="1" outlineLevel="1">
      <c r="A376" s="527" t="s">
        <v>289</v>
      </c>
      <c r="B376" s="1010">
        <f>SUM(E349:E354)/B371</f>
        <v>67.908749999999998</v>
      </c>
      <c r="C376" s="189"/>
      <c r="D376" s="119"/>
      <c r="E376" s="119"/>
      <c r="F376" s="119"/>
      <c r="G376" s="189"/>
      <c r="H376" s="189"/>
      <c r="I376" s="189"/>
      <c r="J376" s="189"/>
      <c r="K376" s="37"/>
      <c r="L376" s="189"/>
      <c r="M376" s="189"/>
      <c r="N376" s="189"/>
      <c r="O376" s="189"/>
      <c r="P376" s="189"/>
      <c r="Q376" s="189"/>
      <c r="R376" s="189"/>
      <c r="S376" s="189"/>
      <c r="T376" s="189"/>
      <c r="U376" s="189"/>
    </row>
    <row r="377" spans="1:59" s="106" customFormat="1" ht="15.95" hidden="1" outlineLevel="1">
      <c r="A377" s="527" t="s">
        <v>290</v>
      </c>
      <c r="B377" s="1011">
        <f>IFERROR((F355-F366)/B371,"N/A")</f>
        <v>6.5650000000000004</v>
      </c>
      <c r="C377" s="189"/>
      <c r="D377" s="119"/>
      <c r="E377" s="119"/>
      <c r="F377" s="119"/>
      <c r="G377" s="189"/>
      <c r="H377" s="189"/>
      <c r="I377" s="189"/>
      <c r="J377" s="189"/>
      <c r="K377" s="37"/>
      <c r="L377" s="189"/>
      <c r="M377" s="189"/>
      <c r="N377" s="189"/>
      <c r="O377" s="189"/>
      <c r="P377" s="189"/>
      <c r="Q377" s="189"/>
      <c r="R377" s="189"/>
      <c r="S377" s="189"/>
      <c r="T377" s="189"/>
      <c r="U377" s="189"/>
    </row>
    <row r="378" spans="1:59" s="106" customFormat="1" ht="15.95" hidden="1" outlineLevel="1">
      <c r="A378" s="527" t="s">
        <v>291</v>
      </c>
      <c r="B378" s="1012">
        <f>E347*B89+E348*B90+E349*B91</f>
        <v>19156.560851999999</v>
      </c>
      <c r="D378" s="293"/>
      <c r="E378" s="119"/>
      <c r="F378" s="294"/>
      <c r="G378" s="189"/>
      <c r="H378" s="189"/>
      <c r="I378" s="189"/>
      <c r="J378" s="189"/>
      <c r="K378" s="189"/>
      <c r="L378" s="189"/>
      <c r="M378" s="189"/>
      <c r="N378" s="189"/>
      <c r="O378" s="189"/>
      <c r="P378" s="189"/>
      <c r="Q378" s="189"/>
      <c r="R378" s="189"/>
      <c r="S378" s="189"/>
      <c r="T378" s="189"/>
      <c r="U378" s="189"/>
    </row>
    <row r="379" spans="1:59" s="106" customFormat="1" ht="15.95" hidden="1" outlineLevel="1">
      <c r="A379" s="527" t="s">
        <v>292</v>
      </c>
      <c r="B379" s="1013">
        <f>SUMPRODUCT($E$347:$E$352,$B$78:$B$83)/$E$355</f>
        <v>1.3919600817873155E-2</v>
      </c>
      <c r="D379" s="293"/>
      <c r="E379" s="119"/>
      <c r="F379" s="294"/>
      <c r="G379" s="189"/>
      <c r="H379" s="189"/>
      <c r="I379" s="189"/>
      <c r="J379" s="189"/>
      <c r="K379" s="189"/>
      <c r="L379" s="189"/>
      <c r="M379" s="189"/>
      <c r="N379" s="189"/>
      <c r="O379" s="189"/>
      <c r="P379" s="189"/>
      <c r="Q379" s="189"/>
      <c r="R379" s="189"/>
      <c r="S379" s="189"/>
      <c r="T379" s="189"/>
      <c r="U379" s="189"/>
    </row>
    <row r="380" spans="1:59" hidden="1" outlineLevel="1">
      <c r="A380" s="277"/>
      <c r="B380" s="277"/>
      <c r="C380" s="277"/>
      <c r="D380" s="277"/>
      <c r="E380" s="277"/>
      <c r="F380" s="277"/>
      <c r="G380" s="277"/>
      <c r="H380" s="277"/>
      <c r="I380" s="277"/>
      <c r="J380" s="277"/>
      <c r="K380" s="277"/>
      <c r="L380" s="45"/>
      <c r="M380" s="45"/>
      <c r="N380" s="45"/>
      <c r="O380" s="45"/>
      <c r="P380" s="45"/>
      <c r="Q380" s="45"/>
      <c r="R380" s="45"/>
      <c r="S380" s="45"/>
      <c r="T380" s="45"/>
      <c r="U380" s="45"/>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row>
    <row r="381" spans="1:59" ht="18.95" collapsed="1">
      <c r="A381" s="856" t="s">
        <v>293</v>
      </c>
      <c r="B381" s="856"/>
      <c r="C381" s="856"/>
      <c r="D381" s="856"/>
      <c r="E381" s="856"/>
      <c r="F381" s="856"/>
      <c r="G381" s="856"/>
      <c r="H381" s="856"/>
      <c r="I381" s="856"/>
      <c r="J381" s="856"/>
      <c r="K381" s="856"/>
      <c r="L381" s="856"/>
      <c r="M381" s="856"/>
      <c r="N381" s="856"/>
      <c r="O381" s="856"/>
      <c r="P381" s="856"/>
      <c r="Q381" s="794"/>
      <c r="R381" s="45"/>
      <c r="S381" s="45"/>
      <c r="T381" s="45"/>
      <c r="U381" s="45"/>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row>
    <row r="382" spans="1:59" hidden="1" outlineLevel="1">
      <c r="A382" s="529" t="s">
        <v>294</v>
      </c>
      <c r="B382" s="189"/>
      <c r="C382" s="189"/>
      <c r="D382" s="189"/>
      <c r="E382" s="189"/>
      <c r="F382" s="189"/>
      <c r="G382" s="189"/>
      <c r="H382" s="189"/>
      <c r="I382" s="189"/>
      <c r="J382" s="189"/>
      <c r="K382" s="119"/>
      <c r="L382" s="524"/>
      <c r="M382" s="119"/>
      <c r="N382" s="119"/>
      <c r="O382" s="119"/>
      <c r="P382" s="119"/>
      <c r="Q382" s="119"/>
      <c r="R382" s="119"/>
      <c r="S382" s="119"/>
      <c r="T382" s="119"/>
      <c r="U382" s="189"/>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row>
    <row r="383" spans="1:59" hidden="1" outlineLevel="1">
      <c r="A383" s="189"/>
      <c r="B383" s="106"/>
      <c r="C383" s="106"/>
      <c r="D383" s="189"/>
      <c r="E383" s="106"/>
      <c r="F383" s="189"/>
      <c r="G383" s="189"/>
      <c r="H383" s="189"/>
      <c r="I383" s="189"/>
      <c r="J383" s="189"/>
      <c r="K383" s="119"/>
      <c r="L383" s="119"/>
      <c r="M383" s="119"/>
      <c r="N383" s="119"/>
      <c r="O383" s="119"/>
      <c r="P383" s="119"/>
      <c r="Q383" s="119"/>
      <c r="R383" s="119"/>
      <c r="S383" s="119"/>
      <c r="T383" s="119"/>
      <c r="U383" s="189"/>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row>
    <row r="384" spans="1:59" hidden="1" outlineLevel="1">
      <c r="A384" s="37" t="s">
        <v>295</v>
      </c>
      <c r="B384" s="1014">
        <f>$B$53</f>
        <v>1360000</v>
      </c>
      <c r="C384" s="528" t="s">
        <v>296</v>
      </c>
      <c r="D384" s="189"/>
      <c r="E384" s="106"/>
      <c r="F384" s="189"/>
      <c r="G384" s="189"/>
      <c r="H384" s="189"/>
      <c r="I384" s="189"/>
      <c r="J384" s="189"/>
      <c r="K384" s="119"/>
      <c r="L384" s="119"/>
      <c r="M384" s="119"/>
      <c r="N384" s="119"/>
      <c r="O384" s="119"/>
      <c r="P384" s="119"/>
      <c r="Q384" s="119"/>
      <c r="R384" s="119"/>
      <c r="S384" s="119"/>
      <c r="T384" s="119"/>
      <c r="U384" s="189"/>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row>
    <row r="385" spans="1:59" hidden="1" outlineLevel="1">
      <c r="A385" s="37" t="s">
        <v>297</v>
      </c>
      <c r="B385" s="1015">
        <f>$B$52</f>
        <v>122910661.11111112</v>
      </c>
      <c r="C385" s="528" t="s">
        <v>15</v>
      </c>
      <c r="D385" s="189"/>
      <c r="E385" s="189"/>
      <c r="F385" s="189"/>
      <c r="G385" s="189"/>
      <c r="H385" s="189"/>
      <c r="I385" s="189"/>
      <c r="J385" s="189"/>
      <c r="K385" s="119"/>
      <c r="L385" s="119"/>
      <c r="M385" s="119"/>
      <c r="N385" s="119"/>
      <c r="O385" s="119"/>
      <c r="P385" s="119"/>
      <c r="Q385" s="119"/>
      <c r="R385" s="119"/>
      <c r="S385" s="119"/>
      <c r="T385" s="119"/>
      <c r="U385" s="189"/>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row>
    <row r="386" spans="1:59" hidden="1" outlineLevel="1">
      <c r="A386" s="37" t="s">
        <v>160</v>
      </c>
      <c r="B386" s="1015">
        <f t="shared" ref="B386:B392" si="33">$B$15*E70</f>
        <v>6920000</v>
      </c>
      <c r="C386" s="106" t="s">
        <v>298</v>
      </c>
      <c r="D386" s="189"/>
      <c r="E386" s="189"/>
      <c r="F386" s="189"/>
      <c r="G386" s="189"/>
      <c r="H386" s="189"/>
      <c r="I386" s="189"/>
      <c r="J386" s="189"/>
      <c r="K386" s="119"/>
      <c r="L386" s="119"/>
      <c r="M386" s="119"/>
      <c r="N386" s="119"/>
      <c r="O386" s="119"/>
      <c r="P386" s="119"/>
      <c r="Q386" s="119"/>
      <c r="R386" s="119"/>
      <c r="S386" s="119"/>
      <c r="T386" s="119"/>
      <c r="U386" s="189"/>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row>
    <row r="387" spans="1:59" hidden="1" outlineLevel="1">
      <c r="A387" s="37" t="s">
        <v>161</v>
      </c>
      <c r="B387" s="1015">
        <f t="shared" si="33"/>
        <v>7040000.0000000009</v>
      </c>
      <c r="C387" s="106" t="s">
        <v>298</v>
      </c>
      <c r="D387" s="189"/>
      <c r="E387" s="189"/>
      <c r="F387" s="189"/>
      <c r="G387" s="189"/>
      <c r="H387" s="189"/>
      <c r="I387" s="189"/>
      <c r="J387" s="189"/>
      <c r="K387" s="119"/>
      <c r="L387" s="119"/>
      <c r="M387" s="119"/>
      <c r="N387" s="119"/>
      <c r="O387" s="119"/>
      <c r="P387" s="119"/>
      <c r="Q387" s="119"/>
      <c r="R387" s="119"/>
      <c r="S387" s="119"/>
      <c r="T387" s="119"/>
      <c r="U387" s="189"/>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row>
    <row r="388" spans="1:59" hidden="1" outlineLevel="1">
      <c r="A388" s="37" t="s">
        <v>162</v>
      </c>
      <c r="B388" s="1015">
        <f t="shared" si="33"/>
        <v>6680000</v>
      </c>
      <c r="C388" s="106" t="s">
        <v>298</v>
      </c>
      <c r="D388" s="189"/>
      <c r="E388" s="189"/>
      <c r="F388" s="189"/>
      <c r="G388" s="189"/>
      <c r="H388" s="189"/>
      <c r="I388" s="189"/>
      <c r="J388" s="189"/>
      <c r="K388" s="119"/>
      <c r="L388" s="119"/>
      <c r="M388" s="119"/>
      <c r="N388" s="119"/>
      <c r="O388" s="119"/>
      <c r="P388" s="119"/>
      <c r="Q388" s="119"/>
      <c r="R388" s="119"/>
      <c r="S388" s="119"/>
      <c r="T388" s="119"/>
      <c r="U388" s="189"/>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row>
    <row r="389" spans="1:59" hidden="1" outlineLevel="1">
      <c r="A389" s="37" t="s">
        <v>163</v>
      </c>
      <c r="B389" s="1015">
        <f t="shared" si="33"/>
        <v>2279999.9999999995</v>
      </c>
      <c r="C389" s="106" t="s">
        <v>298</v>
      </c>
      <c r="D389" s="189"/>
      <c r="E389" s="189"/>
      <c r="F389" s="189"/>
      <c r="G389" s="189"/>
      <c r="H389" s="189"/>
      <c r="I389" s="189"/>
      <c r="J389" s="189"/>
      <c r="K389" s="119"/>
      <c r="L389" s="119"/>
      <c r="M389" s="119"/>
      <c r="N389" s="119"/>
      <c r="O389" s="119"/>
      <c r="P389" s="119"/>
      <c r="Q389" s="119"/>
      <c r="R389" s="119"/>
      <c r="S389" s="119"/>
      <c r="T389" s="119"/>
      <c r="U389" s="189"/>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row>
    <row r="390" spans="1:59" hidden="1" outlineLevel="1">
      <c r="A390" s="37" t="s">
        <v>164</v>
      </c>
      <c r="B390" s="1015">
        <f t="shared" si="33"/>
        <v>2900000</v>
      </c>
      <c r="C390" s="106" t="s">
        <v>298</v>
      </c>
      <c r="D390" s="189"/>
      <c r="E390" s="189"/>
      <c r="F390" s="189"/>
      <c r="G390" s="189"/>
      <c r="H390" s="189"/>
      <c r="I390" s="189"/>
      <c r="J390" s="189"/>
      <c r="K390" s="119"/>
      <c r="L390" s="119"/>
      <c r="M390" s="119"/>
      <c r="N390" s="119"/>
      <c r="O390" s="119"/>
      <c r="P390" s="119"/>
      <c r="Q390" s="119"/>
      <c r="R390" s="119"/>
      <c r="S390" s="119"/>
      <c r="T390" s="119"/>
      <c r="U390" s="189"/>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row>
    <row r="391" spans="1:59" hidden="1" outlineLevel="1">
      <c r="A391" s="37" t="s">
        <v>165</v>
      </c>
      <c r="B391" s="1015">
        <f t="shared" si="33"/>
        <v>29960000.000000004</v>
      </c>
      <c r="C391" s="106" t="s">
        <v>298</v>
      </c>
      <c r="D391" s="189"/>
      <c r="E391" s="189"/>
      <c r="F391" s="189"/>
      <c r="G391" s="189"/>
      <c r="H391" s="189"/>
      <c r="I391" s="189"/>
      <c r="J391" s="189"/>
      <c r="K391" s="119"/>
      <c r="L391" s="119"/>
      <c r="M391" s="119"/>
      <c r="N391" s="119"/>
      <c r="O391" s="119"/>
      <c r="P391" s="119"/>
      <c r="Q391" s="119"/>
      <c r="R391" s="119"/>
      <c r="S391" s="119"/>
      <c r="T391" s="119"/>
      <c r="U391" s="189"/>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row>
    <row r="392" spans="1:59" hidden="1" outlineLevel="1">
      <c r="A392" s="37" t="s">
        <v>166</v>
      </c>
      <c r="B392" s="1015">
        <f t="shared" si="33"/>
        <v>1160000</v>
      </c>
      <c r="C392" s="106" t="s">
        <v>298</v>
      </c>
      <c r="D392" s="189"/>
      <c r="E392" s="189"/>
      <c r="F392" s="189"/>
      <c r="G392" s="189"/>
      <c r="H392" s="189"/>
      <c r="I392" s="189"/>
      <c r="J392" s="189"/>
      <c r="K392" s="119"/>
      <c r="L392" s="119"/>
      <c r="M392" s="119"/>
      <c r="N392" s="119"/>
      <c r="O392" s="119"/>
      <c r="P392" s="119"/>
      <c r="Q392" s="119"/>
      <c r="R392" s="119"/>
      <c r="S392" s="119"/>
      <c r="T392" s="119"/>
      <c r="U392" s="189"/>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row>
    <row r="393" spans="1:59" s="106" customFormat="1" hidden="1" outlineLevel="1">
      <c r="A393" s="37"/>
      <c r="B393" s="639"/>
      <c r="D393" s="189"/>
      <c r="E393" s="189"/>
      <c r="F393" s="189"/>
      <c r="G393" s="189"/>
      <c r="H393" s="189"/>
      <c r="I393" s="189"/>
      <c r="J393" s="189"/>
      <c r="K393" s="119"/>
      <c r="L393" s="119"/>
      <c r="M393" s="119"/>
      <c r="N393" s="119"/>
      <c r="O393" s="119"/>
      <c r="P393" s="119"/>
      <c r="Q393" s="119"/>
      <c r="R393" s="119"/>
      <c r="S393" s="119"/>
      <c r="T393" s="119"/>
      <c r="U393" s="189"/>
    </row>
    <row r="394" spans="1:59" s="106" customFormat="1" hidden="1" outlineLevel="1">
      <c r="A394" s="274" t="s">
        <v>299</v>
      </c>
      <c r="B394" s="639"/>
      <c r="D394" s="189"/>
      <c r="E394" s="189"/>
      <c r="F394" s="189"/>
      <c r="G394" s="189"/>
      <c r="H394" s="189"/>
      <c r="I394" s="189"/>
      <c r="J394" s="189"/>
      <c r="K394" s="119"/>
      <c r="L394" s="119"/>
      <c r="M394" s="119"/>
      <c r="N394" s="119"/>
      <c r="O394" s="119"/>
      <c r="P394" s="119"/>
      <c r="Q394" s="119"/>
      <c r="R394" s="119"/>
      <c r="S394" s="119"/>
      <c r="T394" s="119"/>
      <c r="U394" s="189"/>
    </row>
    <row r="395" spans="1:59" hidden="1" outlineLevel="1">
      <c r="A395" s="640" t="s">
        <v>300</v>
      </c>
      <c r="B395" s="640"/>
      <c r="C395" s="640"/>
      <c r="D395" s="640"/>
      <c r="E395" s="640"/>
      <c r="F395" s="640"/>
      <c r="G395" s="640"/>
      <c r="H395" s="640"/>
      <c r="I395" s="640"/>
      <c r="J395" s="640"/>
      <c r="K395" s="640"/>
      <c r="L395" s="45"/>
      <c r="M395" s="45"/>
      <c r="N395" s="45"/>
      <c r="O395" s="45"/>
      <c r="P395" s="45"/>
      <c r="Q395" s="45"/>
      <c r="R395" s="45"/>
      <c r="S395" s="45"/>
      <c r="T395" s="45"/>
      <c r="U395" s="45"/>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row>
    <row r="396" spans="1:59" hidden="1" outlineLevel="1">
      <c r="A396" s="640"/>
      <c r="B396" s="640"/>
      <c r="C396" s="640"/>
      <c r="D396" s="640"/>
      <c r="E396" s="640"/>
      <c r="F396" s="640"/>
      <c r="G396" s="640"/>
      <c r="H396" s="640"/>
      <c r="I396" s="640"/>
      <c r="J396" s="640"/>
      <c r="K396" s="640"/>
      <c r="L396" s="45"/>
      <c r="M396" s="45"/>
      <c r="N396" s="45"/>
      <c r="O396" s="45"/>
      <c r="P396" s="45"/>
      <c r="Q396" s="45"/>
      <c r="R396" s="45"/>
      <c r="S396" s="45"/>
      <c r="T396" s="45"/>
      <c r="U396" s="45"/>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row>
    <row r="397" spans="1:59" hidden="1" outlineLevel="1">
      <c r="A397" s="280" t="s">
        <v>301</v>
      </c>
      <c r="B397" s="1016">
        <f>'Building Info &amp; Assumptions'!$B$57</f>
        <v>20</v>
      </c>
      <c r="C397" s="277"/>
      <c r="D397" s="277"/>
      <c r="E397" s="277"/>
      <c r="F397" s="277"/>
      <c r="G397" s="277"/>
      <c r="H397" s="280"/>
      <c r="I397" s="277"/>
      <c r="J397" s="277"/>
      <c r="K397" s="277"/>
      <c r="L397" s="45"/>
      <c r="M397" s="45"/>
      <c r="N397" s="45"/>
      <c r="O397" s="45"/>
      <c r="P397" s="45"/>
      <c r="Q397" s="45"/>
      <c r="R397" s="45"/>
      <c r="S397" s="45"/>
      <c r="T397" s="45"/>
      <c r="U397" s="45"/>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row>
    <row r="398" spans="1:59" hidden="1" outlineLevel="1">
      <c r="A398" s="229"/>
      <c r="B398" s="277"/>
      <c r="C398" s="277"/>
      <c r="D398" s="277"/>
      <c r="E398" s="277"/>
      <c r="F398" s="277"/>
      <c r="G398" s="277"/>
      <c r="H398" s="277"/>
      <c r="I398" s="277"/>
      <c r="J398" s="277"/>
      <c r="K398" s="277"/>
      <c r="L398" s="45"/>
      <c r="M398" s="45"/>
      <c r="N398" s="45"/>
      <c r="O398" s="45"/>
      <c r="P398" s="45"/>
      <c r="Q398" s="45"/>
      <c r="R398" s="45"/>
      <c r="S398" s="45"/>
      <c r="T398" s="45"/>
      <c r="U398" s="45"/>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row>
    <row r="399" spans="1:59" s="106" customFormat="1" hidden="1" outlineLevel="1">
      <c r="A399" s="280" t="s">
        <v>302</v>
      </c>
      <c r="B399" s="277"/>
      <c r="C399" s="277"/>
      <c r="D399" s="277"/>
      <c r="E399" s="277"/>
      <c r="F399" s="277"/>
      <c r="G399" s="277"/>
      <c r="H399" s="277"/>
      <c r="I399" s="277"/>
      <c r="J399" s="277"/>
      <c r="K399" s="277"/>
      <c r="L399" s="277"/>
      <c r="M399" s="277"/>
      <c r="N399" s="277"/>
      <c r="O399" s="277"/>
      <c r="P399" s="277"/>
      <c r="Q399" s="277"/>
      <c r="R399" s="277"/>
      <c r="S399" s="277"/>
      <c r="T399" s="277"/>
      <c r="U399" s="277"/>
    </row>
    <row r="400" spans="1:59" s="106" customFormat="1" hidden="1" outlineLevel="2">
      <c r="A400" s="229"/>
      <c r="B400" s="501">
        <v>1</v>
      </c>
      <c r="C400" s="501">
        <v>2</v>
      </c>
      <c r="D400" s="501">
        <v>3</v>
      </c>
      <c r="E400" s="501">
        <v>4</v>
      </c>
      <c r="F400" s="501">
        <v>5</v>
      </c>
      <c r="G400" s="501">
        <v>6</v>
      </c>
      <c r="H400" s="501">
        <v>7</v>
      </c>
      <c r="I400" s="501">
        <v>8</v>
      </c>
      <c r="J400" s="501">
        <v>9</v>
      </c>
      <c r="K400" s="501">
        <v>10</v>
      </c>
      <c r="L400" s="501">
        <v>11</v>
      </c>
      <c r="M400" s="501">
        <v>12</v>
      </c>
      <c r="N400" s="501">
        <v>13</v>
      </c>
      <c r="O400" s="501">
        <v>14</v>
      </c>
      <c r="P400" s="501">
        <v>15</v>
      </c>
      <c r="Q400" s="501">
        <v>16</v>
      </c>
      <c r="R400" s="501">
        <v>17</v>
      </c>
      <c r="S400" s="501">
        <v>18</v>
      </c>
      <c r="T400" s="501">
        <v>19</v>
      </c>
      <c r="U400" s="501">
        <v>20</v>
      </c>
    </row>
    <row r="401" spans="1:21" s="106" customFormat="1" hidden="1" outlineLevel="2">
      <c r="A401" s="511" t="s">
        <v>303</v>
      </c>
      <c r="B401" s="622"/>
      <c r="C401" s="643"/>
      <c r="D401" s="643"/>
      <c r="E401" s="643"/>
      <c r="F401" s="643"/>
      <c r="G401" s="643"/>
      <c r="H401" s="643"/>
      <c r="I401" s="643"/>
      <c r="J401" s="643"/>
      <c r="K401" s="643"/>
      <c r="L401" s="643"/>
      <c r="M401" s="643"/>
      <c r="N401" s="643"/>
      <c r="O401" s="643"/>
      <c r="P401" s="643"/>
      <c r="Q401" s="643"/>
      <c r="R401" s="643"/>
      <c r="S401" s="643"/>
      <c r="T401" s="643"/>
      <c r="U401" s="643"/>
    </row>
    <row r="402" spans="1:21" s="106" customFormat="1" hidden="1" outlineLevel="2">
      <c r="A402" s="511" t="s">
        <v>304</v>
      </c>
      <c r="B402" s="621"/>
      <c r="C402" s="621"/>
      <c r="D402" s="621"/>
      <c r="E402" s="621"/>
      <c r="F402" s="621"/>
      <c r="G402" s="621"/>
      <c r="H402" s="621"/>
      <c r="I402" s="621"/>
      <c r="J402" s="621"/>
      <c r="K402" s="621"/>
      <c r="L402" s="621"/>
      <c r="M402" s="621"/>
      <c r="N402" s="621"/>
      <c r="O402" s="621"/>
      <c r="P402" s="621"/>
      <c r="Q402" s="621"/>
      <c r="R402" s="621"/>
      <c r="S402" s="621"/>
      <c r="T402" s="621"/>
      <c r="U402" s="621"/>
    </row>
    <row r="403" spans="1:21" s="106" customFormat="1" hidden="1" outlineLevel="2">
      <c r="A403" s="511"/>
      <c r="B403" s="504">
        <f>B401-B402</f>
        <v>0</v>
      </c>
      <c r="C403" s="504">
        <f t="shared" ref="C403:U403" si="34">C401-C402</f>
        <v>0</v>
      </c>
      <c r="D403" s="504">
        <f t="shared" si="34"/>
        <v>0</v>
      </c>
      <c r="E403" s="504">
        <f t="shared" si="34"/>
        <v>0</v>
      </c>
      <c r="F403" s="504">
        <f t="shared" si="34"/>
        <v>0</v>
      </c>
      <c r="G403" s="504">
        <f t="shared" si="34"/>
        <v>0</v>
      </c>
      <c r="H403" s="504">
        <f t="shared" si="34"/>
        <v>0</v>
      </c>
      <c r="I403" s="504">
        <f t="shared" si="34"/>
        <v>0</v>
      </c>
      <c r="J403" s="504">
        <f t="shared" si="34"/>
        <v>0</v>
      </c>
      <c r="K403" s="504">
        <f t="shared" si="34"/>
        <v>0</v>
      </c>
      <c r="L403" s="504">
        <f t="shared" si="34"/>
        <v>0</v>
      </c>
      <c r="M403" s="504">
        <f t="shared" si="34"/>
        <v>0</v>
      </c>
      <c r="N403" s="504">
        <f t="shared" si="34"/>
        <v>0</v>
      </c>
      <c r="O403" s="504">
        <f t="shared" si="34"/>
        <v>0</v>
      </c>
      <c r="P403" s="504">
        <f t="shared" si="34"/>
        <v>0</v>
      </c>
      <c r="Q403" s="504">
        <f t="shared" si="34"/>
        <v>0</v>
      </c>
      <c r="R403" s="504">
        <f t="shared" si="34"/>
        <v>0</v>
      </c>
      <c r="S403" s="504">
        <f t="shared" si="34"/>
        <v>0</v>
      </c>
      <c r="T403" s="504">
        <f t="shared" si="34"/>
        <v>0</v>
      </c>
      <c r="U403" s="504">
        <f t="shared" si="34"/>
        <v>0</v>
      </c>
    </row>
    <row r="404" spans="1:21" s="106" customFormat="1" hidden="1" outlineLevel="2">
      <c r="A404" s="511" t="s">
        <v>305</v>
      </c>
      <c r="B404" s="621"/>
      <c r="C404" s="621"/>
      <c r="D404" s="621"/>
      <c r="E404" s="621"/>
      <c r="F404" s="621"/>
      <c r="G404" s="621"/>
      <c r="H404" s="621"/>
      <c r="I404" s="621"/>
      <c r="J404" s="621"/>
      <c r="K404" s="621"/>
      <c r="L404" s="621"/>
      <c r="M404" s="621"/>
      <c r="N404" s="621"/>
      <c r="O404" s="621"/>
      <c r="P404" s="621"/>
      <c r="Q404" s="621"/>
      <c r="R404" s="621"/>
      <c r="S404" s="621"/>
      <c r="T404" s="621"/>
      <c r="U404" s="621"/>
    </row>
    <row r="405" spans="1:21" s="106" customFormat="1" hidden="1" outlineLevel="2">
      <c r="A405" s="511" t="s">
        <v>306</v>
      </c>
      <c r="B405" s="505">
        <f>B403+B404</f>
        <v>0</v>
      </c>
      <c r="C405" s="505">
        <f t="shared" ref="C405:U405" si="35">C403+C404</f>
        <v>0</v>
      </c>
      <c r="D405" s="505">
        <f t="shared" si="35"/>
        <v>0</v>
      </c>
      <c r="E405" s="505">
        <f t="shared" si="35"/>
        <v>0</v>
      </c>
      <c r="F405" s="505">
        <f t="shared" si="35"/>
        <v>0</v>
      </c>
      <c r="G405" s="505">
        <f t="shared" si="35"/>
        <v>0</v>
      </c>
      <c r="H405" s="505">
        <f t="shared" si="35"/>
        <v>0</v>
      </c>
      <c r="I405" s="505">
        <f t="shared" si="35"/>
        <v>0</v>
      </c>
      <c r="J405" s="505">
        <f t="shared" si="35"/>
        <v>0</v>
      </c>
      <c r="K405" s="505">
        <f t="shared" si="35"/>
        <v>0</v>
      </c>
      <c r="L405" s="505">
        <f t="shared" si="35"/>
        <v>0</v>
      </c>
      <c r="M405" s="505">
        <f t="shared" si="35"/>
        <v>0</v>
      </c>
      <c r="N405" s="505">
        <f t="shared" si="35"/>
        <v>0</v>
      </c>
      <c r="O405" s="505">
        <f t="shared" si="35"/>
        <v>0</v>
      </c>
      <c r="P405" s="505">
        <f t="shared" si="35"/>
        <v>0</v>
      </c>
      <c r="Q405" s="505">
        <f t="shared" si="35"/>
        <v>0</v>
      </c>
      <c r="R405" s="505">
        <f t="shared" si="35"/>
        <v>0</v>
      </c>
      <c r="S405" s="505">
        <f t="shared" si="35"/>
        <v>0</v>
      </c>
      <c r="T405" s="505">
        <f t="shared" si="35"/>
        <v>0</v>
      </c>
      <c r="U405" s="505">
        <f t="shared" si="35"/>
        <v>0</v>
      </c>
    </row>
    <row r="406" spans="1:21" s="106" customFormat="1" hidden="1" outlineLevel="2">
      <c r="A406" s="511"/>
      <c r="B406" s="505"/>
      <c r="C406" s="505"/>
      <c r="D406" s="505"/>
      <c r="E406" s="505"/>
      <c r="F406" s="505"/>
      <c r="G406" s="505"/>
      <c r="H406" s="505"/>
      <c r="I406" s="505"/>
      <c r="J406" s="505"/>
      <c r="K406" s="505"/>
      <c r="L406" s="505"/>
      <c r="M406" s="505"/>
      <c r="N406" s="505"/>
      <c r="O406" s="505"/>
      <c r="P406" s="505"/>
      <c r="Q406" s="505"/>
      <c r="R406" s="505"/>
      <c r="S406" s="505"/>
      <c r="T406" s="505"/>
      <c r="U406" s="505"/>
    </row>
    <row r="407" spans="1:21" s="106" customFormat="1" hidden="1" outlineLevel="2">
      <c r="A407" s="649" t="s">
        <v>307</v>
      </c>
      <c r="B407" s="505"/>
      <c r="C407" s="505"/>
      <c r="D407" s="505"/>
      <c r="E407" s="505"/>
      <c r="F407" s="505"/>
      <c r="G407" s="505"/>
      <c r="H407" s="505"/>
      <c r="I407" s="505"/>
      <c r="J407" s="505"/>
      <c r="K407" s="505"/>
      <c r="L407" s="505"/>
      <c r="M407" s="505"/>
      <c r="N407" s="505"/>
      <c r="O407" s="505"/>
      <c r="P407" s="505"/>
      <c r="Q407" s="505"/>
      <c r="R407" s="505"/>
      <c r="S407" s="505"/>
      <c r="T407" s="505"/>
      <c r="U407" s="505"/>
    </row>
    <row r="408" spans="1:21" s="106" customFormat="1" hidden="1" outlineLevel="2">
      <c r="A408" s="511" t="s">
        <v>162</v>
      </c>
      <c r="B408" s="650"/>
      <c r="C408" s="650"/>
      <c r="D408" s="650"/>
      <c r="E408" s="650"/>
      <c r="F408" s="650"/>
      <c r="G408" s="650"/>
      <c r="H408" s="650"/>
      <c r="I408" s="650"/>
      <c r="J408" s="650"/>
      <c r="K408" s="650"/>
      <c r="L408" s="650"/>
      <c r="M408" s="650"/>
      <c r="N408" s="650"/>
      <c r="O408" s="650"/>
      <c r="P408" s="650"/>
      <c r="Q408" s="650"/>
      <c r="R408" s="650"/>
      <c r="S408" s="650"/>
      <c r="T408" s="650"/>
      <c r="U408" s="650"/>
    </row>
    <row r="409" spans="1:21" s="106" customFormat="1" hidden="1" outlineLevel="2">
      <c r="A409" s="511" t="s">
        <v>308</v>
      </c>
      <c r="B409" s="621"/>
      <c r="C409" s="621"/>
      <c r="D409" s="621"/>
      <c r="E409" s="621"/>
      <c r="F409" s="621"/>
      <c r="G409" s="621"/>
      <c r="H409" s="621"/>
      <c r="I409" s="621"/>
      <c r="J409" s="621"/>
      <c r="K409" s="621"/>
      <c r="L409" s="621"/>
      <c r="M409" s="621"/>
      <c r="N409" s="621"/>
      <c r="O409" s="621"/>
      <c r="P409" s="621"/>
      <c r="Q409" s="621"/>
      <c r="R409" s="621"/>
      <c r="S409" s="621"/>
      <c r="T409" s="621"/>
      <c r="U409" s="621"/>
    </row>
    <row r="410" spans="1:21" s="106" customFormat="1" hidden="1" outlineLevel="2">
      <c r="A410" s="229"/>
      <c r="B410" s="502"/>
      <c r="C410" s="506"/>
      <c r="D410" s="506"/>
      <c r="E410" s="506"/>
      <c r="F410" s="506"/>
      <c r="G410" s="506"/>
      <c r="H410" s="506"/>
      <c r="I410" s="506"/>
      <c r="J410" s="506"/>
      <c r="K410" s="506"/>
      <c r="L410" s="506"/>
      <c r="M410" s="506"/>
      <c r="N410" s="506"/>
      <c r="O410" s="506"/>
      <c r="P410" s="506"/>
      <c r="Q410" s="506"/>
      <c r="R410" s="506"/>
      <c r="S410" s="506"/>
      <c r="T410" s="506"/>
      <c r="U410" s="506"/>
    </row>
    <row r="411" spans="1:21" s="106" customFormat="1" hidden="1" outlineLevel="2">
      <c r="A411" s="280" t="s">
        <v>309</v>
      </c>
      <c r="B411" s="503">
        <f>IF(ISBLANK(SUM(B408:B409)),"",SUM(B408:B409))</f>
        <v>0</v>
      </c>
      <c r="C411" s="503">
        <f t="shared" ref="C411:U411" si="36">IF(ISBLANK(SUM(C408:C409)),"",SUM(C408:C409))</f>
        <v>0</v>
      </c>
      <c r="D411" s="503">
        <f t="shared" si="36"/>
        <v>0</v>
      </c>
      <c r="E411" s="503">
        <f t="shared" si="36"/>
        <v>0</v>
      </c>
      <c r="F411" s="503">
        <f t="shared" si="36"/>
        <v>0</v>
      </c>
      <c r="G411" s="503">
        <f t="shared" si="36"/>
        <v>0</v>
      </c>
      <c r="H411" s="503">
        <f t="shared" si="36"/>
        <v>0</v>
      </c>
      <c r="I411" s="503">
        <f t="shared" si="36"/>
        <v>0</v>
      </c>
      <c r="J411" s="503">
        <f t="shared" si="36"/>
        <v>0</v>
      </c>
      <c r="K411" s="503">
        <f t="shared" si="36"/>
        <v>0</v>
      </c>
      <c r="L411" s="503">
        <f t="shared" si="36"/>
        <v>0</v>
      </c>
      <c r="M411" s="503">
        <f t="shared" si="36"/>
        <v>0</v>
      </c>
      <c r="N411" s="503">
        <f t="shared" si="36"/>
        <v>0</v>
      </c>
      <c r="O411" s="503">
        <f t="shared" si="36"/>
        <v>0</v>
      </c>
      <c r="P411" s="503">
        <f t="shared" si="36"/>
        <v>0</v>
      </c>
      <c r="Q411" s="503">
        <f t="shared" si="36"/>
        <v>0</v>
      </c>
      <c r="R411" s="503">
        <f t="shared" si="36"/>
        <v>0</v>
      </c>
      <c r="S411" s="503">
        <f t="shared" si="36"/>
        <v>0</v>
      </c>
      <c r="T411" s="503">
        <f t="shared" si="36"/>
        <v>0</v>
      </c>
      <c r="U411" s="503">
        <f t="shared" si="36"/>
        <v>0</v>
      </c>
    </row>
    <row r="412" spans="1:21" s="106" customFormat="1" hidden="1" outlineLevel="2">
      <c r="A412" s="229"/>
      <c r="B412" s="504"/>
      <c r="C412" s="504"/>
      <c r="D412" s="504"/>
      <c r="E412" s="504"/>
      <c r="F412" s="504"/>
      <c r="G412" s="504"/>
      <c r="H412" s="504"/>
      <c r="I412" s="504"/>
      <c r="J412" s="504"/>
      <c r="K412" s="504"/>
      <c r="L412" s="504"/>
      <c r="M412" s="504"/>
      <c r="N412" s="504"/>
      <c r="O412" s="504"/>
      <c r="P412" s="504"/>
      <c r="Q412" s="504"/>
      <c r="R412" s="504"/>
      <c r="S412" s="504"/>
      <c r="T412" s="504"/>
      <c r="U412" s="504"/>
    </row>
    <row r="413" spans="1:21" s="106" customFormat="1" hidden="1" outlineLevel="2">
      <c r="A413" s="229" t="s">
        <v>310</v>
      </c>
      <c r="B413" s="277"/>
      <c r="C413" s="507">
        <f>IFERROR(C411-B411,"")</f>
        <v>0</v>
      </c>
      <c r="D413" s="507">
        <f t="shared" ref="D413:U413" si="37">IFERROR(D411-C411,"")</f>
        <v>0</v>
      </c>
      <c r="E413" s="507">
        <f t="shared" si="37"/>
        <v>0</v>
      </c>
      <c r="F413" s="507">
        <f>IFERROR(F411-E411,"")</f>
        <v>0</v>
      </c>
      <c r="G413" s="507">
        <f t="shared" si="37"/>
        <v>0</v>
      </c>
      <c r="H413" s="507">
        <f t="shared" si="37"/>
        <v>0</v>
      </c>
      <c r="I413" s="507">
        <f t="shared" si="37"/>
        <v>0</v>
      </c>
      <c r="J413" s="507">
        <f t="shared" si="37"/>
        <v>0</v>
      </c>
      <c r="K413" s="507">
        <f t="shared" si="37"/>
        <v>0</v>
      </c>
      <c r="L413" s="507">
        <f t="shared" si="37"/>
        <v>0</v>
      </c>
      <c r="M413" s="507">
        <f t="shared" si="37"/>
        <v>0</v>
      </c>
      <c r="N413" s="507">
        <f t="shared" si="37"/>
        <v>0</v>
      </c>
      <c r="O413" s="507">
        <f t="shared" si="37"/>
        <v>0</v>
      </c>
      <c r="P413" s="507">
        <f t="shared" si="37"/>
        <v>0</v>
      </c>
      <c r="Q413" s="507">
        <f t="shared" si="37"/>
        <v>0</v>
      </c>
      <c r="R413" s="507">
        <f t="shared" si="37"/>
        <v>0</v>
      </c>
      <c r="S413" s="507">
        <f t="shared" si="37"/>
        <v>0</v>
      </c>
      <c r="T413" s="507">
        <f t="shared" si="37"/>
        <v>0</v>
      </c>
      <c r="U413" s="507">
        <f t="shared" si="37"/>
        <v>0</v>
      </c>
    </row>
    <row r="414" spans="1:21" s="106" customFormat="1" hidden="1" outlineLevel="2">
      <c r="A414" s="229"/>
      <c r="B414" s="277"/>
      <c r="C414" s="508" t="str">
        <f t="shared" ref="C414:U414" si="38">IFERROR(C413/B411,"")</f>
        <v/>
      </c>
      <c r="D414" s="508" t="str">
        <f t="shared" si="38"/>
        <v/>
      </c>
      <c r="E414" s="508" t="str">
        <f t="shared" si="38"/>
        <v/>
      </c>
      <c r="F414" s="508" t="str">
        <f>IFERROR(F413/E411,"")</f>
        <v/>
      </c>
      <c r="G414" s="508" t="str">
        <f t="shared" si="38"/>
        <v/>
      </c>
      <c r="H414" s="508" t="str">
        <f t="shared" si="38"/>
        <v/>
      </c>
      <c r="I414" s="508" t="str">
        <f t="shared" si="38"/>
        <v/>
      </c>
      <c r="J414" s="508" t="str">
        <f t="shared" si="38"/>
        <v/>
      </c>
      <c r="K414" s="508" t="str">
        <f t="shared" si="38"/>
        <v/>
      </c>
      <c r="L414" s="508" t="str">
        <f t="shared" si="38"/>
        <v/>
      </c>
      <c r="M414" s="508" t="str">
        <f t="shared" si="38"/>
        <v/>
      </c>
      <c r="N414" s="508" t="str">
        <f t="shared" si="38"/>
        <v/>
      </c>
      <c r="O414" s="508" t="str">
        <f t="shared" si="38"/>
        <v/>
      </c>
      <c r="P414" s="508" t="str">
        <f t="shared" si="38"/>
        <v/>
      </c>
      <c r="Q414" s="508" t="str">
        <f t="shared" si="38"/>
        <v/>
      </c>
      <c r="R414" s="508" t="str">
        <f t="shared" si="38"/>
        <v/>
      </c>
      <c r="S414" s="508" t="str">
        <f t="shared" si="38"/>
        <v/>
      </c>
      <c r="T414" s="508" t="str">
        <f t="shared" si="38"/>
        <v/>
      </c>
      <c r="U414" s="508" t="str">
        <f t="shared" si="38"/>
        <v/>
      </c>
    </row>
    <row r="415" spans="1:21" s="111" customFormat="1" hidden="1" outlineLevel="2">
      <c r="A415" s="471" t="s">
        <v>311</v>
      </c>
      <c r="B415" s="221"/>
      <c r="C415" s="641">
        <f t="shared" ref="C415:U415" si="39">IFERROR(C411-$B$411,"")</f>
        <v>0</v>
      </c>
      <c r="D415" s="641">
        <f t="shared" si="39"/>
        <v>0</v>
      </c>
      <c r="E415" s="641">
        <f t="shared" si="39"/>
        <v>0</v>
      </c>
      <c r="F415" s="641">
        <f t="shared" si="39"/>
        <v>0</v>
      </c>
      <c r="G415" s="641">
        <f t="shared" si="39"/>
        <v>0</v>
      </c>
      <c r="H415" s="641">
        <f t="shared" si="39"/>
        <v>0</v>
      </c>
      <c r="I415" s="641">
        <f t="shared" si="39"/>
        <v>0</v>
      </c>
      <c r="J415" s="641">
        <f t="shared" si="39"/>
        <v>0</v>
      </c>
      <c r="K415" s="641">
        <f t="shared" si="39"/>
        <v>0</v>
      </c>
      <c r="L415" s="641">
        <f t="shared" si="39"/>
        <v>0</v>
      </c>
      <c r="M415" s="641">
        <f t="shared" si="39"/>
        <v>0</v>
      </c>
      <c r="N415" s="641">
        <f t="shared" si="39"/>
        <v>0</v>
      </c>
      <c r="O415" s="641">
        <f t="shared" si="39"/>
        <v>0</v>
      </c>
      <c r="P415" s="641">
        <f t="shared" si="39"/>
        <v>0</v>
      </c>
      <c r="Q415" s="641">
        <f t="shared" si="39"/>
        <v>0</v>
      </c>
      <c r="R415" s="641">
        <f t="shared" si="39"/>
        <v>0</v>
      </c>
      <c r="S415" s="641">
        <f t="shared" si="39"/>
        <v>0</v>
      </c>
      <c r="T415" s="641">
        <f t="shared" si="39"/>
        <v>0</v>
      </c>
      <c r="U415" s="641">
        <f t="shared" si="39"/>
        <v>0</v>
      </c>
    </row>
    <row r="416" spans="1:21" s="106" customFormat="1" hidden="1" outlineLevel="2">
      <c r="A416" s="229"/>
      <c r="B416" s="504"/>
      <c r="C416" s="504"/>
      <c r="D416" s="504"/>
      <c r="E416" s="504"/>
      <c r="F416" s="504"/>
      <c r="G416" s="504"/>
      <c r="H416" s="504"/>
      <c r="I416" s="504"/>
      <c r="J416" s="504"/>
      <c r="K416" s="504"/>
      <c r="L416" s="504"/>
      <c r="M416" s="504"/>
      <c r="N416" s="504"/>
      <c r="O416" s="504"/>
      <c r="P416" s="504"/>
      <c r="Q416" s="504"/>
      <c r="R416" s="504"/>
      <c r="S416" s="504"/>
      <c r="T416" s="504"/>
      <c r="U416" s="504"/>
    </row>
    <row r="417" spans="1:21" s="106" customFormat="1" ht="15.95" hidden="1" outlineLevel="2" thickBot="1">
      <c r="A417" s="280" t="s">
        <v>312</v>
      </c>
      <c r="B417" s="509">
        <f>IFERROR(B405-B411,"")</f>
        <v>0</v>
      </c>
      <c r="C417" s="509">
        <f t="shared" ref="C417:U417" si="40">IFERROR(C405-C411,"")</f>
        <v>0</v>
      </c>
      <c r="D417" s="509">
        <f t="shared" si="40"/>
        <v>0</v>
      </c>
      <c r="E417" s="509">
        <f t="shared" si="40"/>
        <v>0</v>
      </c>
      <c r="F417" s="509">
        <f t="shared" si="40"/>
        <v>0</v>
      </c>
      <c r="G417" s="509">
        <f t="shared" si="40"/>
        <v>0</v>
      </c>
      <c r="H417" s="509">
        <f t="shared" si="40"/>
        <v>0</v>
      </c>
      <c r="I417" s="509">
        <f t="shared" si="40"/>
        <v>0</v>
      </c>
      <c r="J417" s="509">
        <f t="shared" si="40"/>
        <v>0</v>
      </c>
      <c r="K417" s="509">
        <f t="shared" si="40"/>
        <v>0</v>
      </c>
      <c r="L417" s="509">
        <f t="shared" si="40"/>
        <v>0</v>
      </c>
      <c r="M417" s="509">
        <f t="shared" si="40"/>
        <v>0</v>
      </c>
      <c r="N417" s="509">
        <f t="shared" si="40"/>
        <v>0</v>
      </c>
      <c r="O417" s="509">
        <f t="shared" si="40"/>
        <v>0</v>
      </c>
      <c r="P417" s="509">
        <f t="shared" si="40"/>
        <v>0</v>
      </c>
      <c r="Q417" s="509">
        <f t="shared" si="40"/>
        <v>0</v>
      </c>
      <c r="R417" s="509">
        <f t="shared" si="40"/>
        <v>0</v>
      </c>
      <c r="S417" s="509">
        <f t="shared" si="40"/>
        <v>0</v>
      </c>
      <c r="T417" s="509">
        <f t="shared" si="40"/>
        <v>0</v>
      </c>
      <c r="U417" s="509">
        <f t="shared" si="40"/>
        <v>0</v>
      </c>
    </row>
    <row r="418" spans="1:21" s="106" customFormat="1" ht="15.95" hidden="1" outlineLevel="2" thickTop="1">
      <c r="A418" s="229"/>
      <c r="B418" s="510"/>
      <c r="C418" s="510"/>
      <c r="D418" s="510"/>
      <c r="E418" s="510"/>
      <c r="F418" s="510"/>
      <c r="G418" s="510"/>
      <c r="H418" s="229"/>
      <c r="I418" s="229"/>
      <c r="J418" s="229"/>
      <c r="K418" s="229"/>
      <c r="L418" s="229"/>
      <c r="M418" s="229"/>
      <c r="N418" s="229"/>
      <c r="O418" s="229"/>
      <c r="P418" s="229"/>
      <c r="Q418" s="229"/>
      <c r="R418" s="229"/>
      <c r="S418" s="229"/>
      <c r="T418" s="229"/>
      <c r="U418" s="229"/>
    </row>
    <row r="419" spans="1:21" s="106" customFormat="1" hidden="1" outlineLevel="2">
      <c r="A419" s="229" t="s">
        <v>310</v>
      </c>
      <c r="B419" s="277"/>
      <c r="C419" s="507">
        <f t="shared" ref="C419:U419" si="41">IFERROR(C417-B417,"")</f>
        <v>0</v>
      </c>
      <c r="D419" s="507">
        <f t="shared" si="41"/>
        <v>0</v>
      </c>
      <c r="E419" s="507">
        <f t="shared" si="41"/>
        <v>0</v>
      </c>
      <c r="F419" s="507">
        <f>IFERROR(F417-E417,"")</f>
        <v>0</v>
      </c>
      <c r="G419" s="507">
        <f t="shared" si="41"/>
        <v>0</v>
      </c>
      <c r="H419" s="507">
        <f t="shared" si="41"/>
        <v>0</v>
      </c>
      <c r="I419" s="507">
        <f t="shared" si="41"/>
        <v>0</v>
      </c>
      <c r="J419" s="507">
        <f t="shared" si="41"/>
        <v>0</v>
      </c>
      <c r="K419" s="507">
        <f t="shared" si="41"/>
        <v>0</v>
      </c>
      <c r="L419" s="507">
        <f t="shared" si="41"/>
        <v>0</v>
      </c>
      <c r="M419" s="507">
        <f t="shared" si="41"/>
        <v>0</v>
      </c>
      <c r="N419" s="507">
        <f t="shared" si="41"/>
        <v>0</v>
      </c>
      <c r="O419" s="507">
        <f t="shared" si="41"/>
        <v>0</v>
      </c>
      <c r="P419" s="507">
        <f t="shared" si="41"/>
        <v>0</v>
      </c>
      <c r="Q419" s="507">
        <f t="shared" si="41"/>
        <v>0</v>
      </c>
      <c r="R419" s="507">
        <f t="shared" si="41"/>
        <v>0</v>
      </c>
      <c r="S419" s="507">
        <f t="shared" si="41"/>
        <v>0</v>
      </c>
      <c r="T419" s="507">
        <f t="shared" si="41"/>
        <v>0</v>
      </c>
      <c r="U419" s="507">
        <f t="shared" si="41"/>
        <v>0</v>
      </c>
    </row>
    <row r="420" spans="1:21" s="106" customFormat="1" hidden="1" outlineLevel="2">
      <c r="A420" s="229"/>
      <c r="B420" s="277"/>
      <c r="C420" s="508" t="str">
        <f>IFERROR(C419/B417,"")</f>
        <v/>
      </c>
      <c r="D420" s="508" t="str">
        <f t="shared" ref="D420:T420" si="42">IFERROR(D419/C417,"")</f>
        <v/>
      </c>
      <c r="E420" s="508" t="str">
        <f t="shared" si="42"/>
        <v/>
      </c>
      <c r="F420" s="508" t="str">
        <f>IFERROR(F419/E417,"")</f>
        <v/>
      </c>
      <c r="G420" s="508" t="str">
        <f t="shared" si="42"/>
        <v/>
      </c>
      <c r="H420" s="508" t="str">
        <f t="shared" si="42"/>
        <v/>
      </c>
      <c r="I420" s="508" t="str">
        <f t="shared" si="42"/>
        <v/>
      </c>
      <c r="J420" s="508" t="str">
        <f t="shared" si="42"/>
        <v/>
      </c>
      <c r="K420" s="508" t="str">
        <f t="shared" si="42"/>
        <v/>
      </c>
      <c r="L420" s="508" t="str">
        <f t="shared" si="42"/>
        <v/>
      </c>
      <c r="M420" s="508" t="str">
        <f t="shared" si="42"/>
        <v/>
      </c>
      <c r="N420" s="508" t="str">
        <f t="shared" si="42"/>
        <v/>
      </c>
      <c r="O420" s="508" t="str">
        <f t="shared" si="42"/>
        <v/>
      </c>
      <c r="P420" s="508" t="str">
        <f t="shared" si="42"/>
        <v/>
      </c>
      <c r="Q420" s="508" t="str">
        <f t="shared" si="42"/>
        <v/>
      </c>
      <c r="R420" s="508" t="str">
        <f t="shared" si="42"/>
        <v/>
      </c>
      <c r="S420" s="508" t="str">
        <f t="shared" si="42"/>
        <v/>
      </c>
      <c r="T420" s="508" t="str">
        <f t="shared" si="42"/>
        <v/>
      </c>
      <c r="U420" s="508" t="str">
        <f>IFERROR(U419/T417,"")</f>
        <v/>
      </c>
    </row>
    <row r="421" spans="1:21" s="106" customFormat="1" hidden="1" outlineLevel="2">
      <c r="A421" s="229" t="s">
        <v>311</v>
      </c>
      <c r="B421" s="277"/>
      <c r="C421" s="507">
        <f t="shared" ref="C421:U421" si="43">IFERROR(C417-$B$417,"")</f>
        <v>0</v>
      </c>
      <c r="D421" s="507">
        <f t="shared" si="43"/>
        <v>0</v>
      </c>
      <c r="E421" s="507">
        <f t="shared" si="43"/>
        <v>0</v>
      </c>
      <c r="F421" s="507">
        <f t="shared" si="43"/>
        <v>0</v>
      </c>
      <c r="G421" s="507">
        <f t="shared" si="43"/>
        <v>0</v>
      </c>
      <c r="H421" s="507">
        <f t="shared" si="43"/>
        <v>0</v>
      </c>
      <c r="I421" s="507">
        <f t="shared" si="43"/>
        <v>0</v>
      </c>
      <c r="J421" s="507">
        <f t="shared" si="43"/>
        <v>0</v>
      </c>
      <c r="K421" s="507">
        <f t="shared" si="43"/>
        <v>0</v>
      </c>
      <c r="L421" s="507">
        <f t="shared" si="43"/>
        <v>0</v>
      </c>
      <c r="M421" s="507">
        <f t="shared" si="43"/>
        <v>0</v>
      </c>
      <c r="N421" s="507">
        <f t="shared" si="43"/>
        <v>0</v>
      </c>
      <c r="O421" s="507">
        <f t="shared" si="43"/>
        <v>0</v>
      </c>
      <c r="P421" s="507">
        <f t="shared" si="43"/>
        <v>0</v>
      </c>
      <c r="Q421" s="507">
        <f t="shared" si="43"/>
        <v>0</v>
      </c>
      <c r="R421" s="507">
        <f t="shared" si="43"/>
        <v>0</v>
      </c>
      <c r="S421" s="507">
        <f t="shared" si="43"/>
        <v>0</v>
      </c>
      <c r="T421" s="507">
        <f t="shared" si="43"/>
        <v>0</v>
      </c>
      <c r="U421" s="507">
        <f t="shared" si="43"/>
        <v>0</v>
      </c>
    </row>
    <row r="422" spans="1:21" s="106" customFormat="1" hidden="1" outlineLevel="1" collapsed="1">
      <c r="A422" s="229"/>
      <c r="B422" s="277"/>
      <c r="C422" s="507"/>
      <c r="D422" s="507"/>
      <c r="E422" s="507"/>
      <c r="F422" s="507"/>
      <c r="G422" s="507"/>
      <c r="H422" s="507"/>
      <c r="I422" s="507"/>
      <c r="J422" s="507"/>
      <c r="K422" s="507"/>
      <c r="L422" s="507"/>
      <c r="M422" s="507"/>
      <c r="N422" s="507"/>
      <c r="O422" s="507"/>
      <c r="P422" s="507"/>
      <c r="Q422" s="507"/>
      <c r="R422" s="507"/>
      <c r="S422" s="507"/>
      <c r="T422" s="507"/>
      <c r="U422" s="507"/>
    </row>
    <row r="423" spans="1:21" hidden="1" outlineLevel="1">
      <c r="A423" s="280" t="s">
        <v>313</v>
      </c>
      <c r="B423" s="277"/>
      <c r="C423" s="277"/>
      <c r="D423" s="277"/>
      <c r="E423" s="277"/>
      <c r="F423" s="277"/>
      <c r="G423" s="277"/>
      <c r="H423" s="277"/>
      <c r="I423" s="277"/>
      <c r="J423" s="277"/>
      <c r="K423" s="277"/>
      <c r="L423" s="277"/>
      <c r="M423" s="277"/>
      <c r="N423" s="277"/>
      <c r="O423" s="277"/>
      <c r="P423" s="277"/>
      <c r="Q423" s="277"/>
      <c r="R423" s="277"/>
      <c r="S423" s="277"/>
      <c r="T423" s="277"/>
      <c r="U423" s="277"/>
    </row>
    <row r="424" spans="1:21" hidden="1" outlineLevel="2">
      <c r="A424" s="229"/>
      <c r="B424" s="501">
        <v>1</v>
      </c>
      <c r="C424" s="501">
        <v>2</v>
      </c>
      <c r="D424" s="501">
        <v>3</v>
      </c>
      <c r="E424" s="501">
        <v>4</v>
      </c>
      <c r="F424" s="501">
        <v>5</v>
      </c>
      <c r="G424" s="501">
        <v>6</v>
      </c>
      <c r="H424" s="501">
        <v>7</v>
      </c>
      <c r="I424" s="501">
        <v>8</v>
      </c>
      <c r="J424" s="501">
        <v>9</v>
      </c>
      <c r="K424" s="501">
        <v>10</v>
      </c>
      <c r="L424" s="501">
        <v>11</v>
      </c>
      <c r="M424" s="501">
        <v>12</v>
      </c>
      <c r="N424" s="501">
        <v>13</v>
      </c>
      <c r="O424" s="501">
        <v>14</v>
      </c>
      <c r="P424" s="501">
        <v>15</v>
      </c>
      <c r="Q424" s="501">
        <v>16</v>
      </c>
      <c r="R424" s="501">
        <v>17</v>
      </c>
      <c r="S424" s="501">
        <v>18</v>
      </c>
      <c r="T424" s="501">
        <v>19</v>
      </c>
      <c r="U424" s="501">
        <v>20</v>
      </c>
    </row>
    <row r="425" spans="1:21" hidden="1" outlineLevel="2">
      <c r="A425" s="511" t="s">
        <v>303</v>
      </c>
      <c r="B425" s="623">
        <f>IF(ISNUMBER(B401),B401,$B$385)</f>
        <v>122910661.11111112</v>
      </c>
      <c r="C425" s="624">
        <f>IF(ISNUMBER(C401),C401,IF($B$397&gt;B424, ROUND((B425*(1+'Building Info &amp; Assumptions'!$E$77))/1000,1)*1000,0))</f>
        <v>127212500</v>
      </c>
      <c r="D425" s="624">
        <f>IF(ISNUMBER(D401),D401,IF($B$397&gt;C424, ROUND((C425*(1+'Building Info &amp; Assumptions'!$E$77))/1000,1)*1000,0))</f>
        <v>131664900</v>
      </c>
      <c r="E425" s="624">
        <f>IF(ISNUMBER(E401),E401,IF($B$397&gt;D424, ROUND((D425*(1+'Building Info &amp; Assumptions'!$E$77))/1000,1)*1000,0))</f>
        <v>136273200</v>
      </c>
      <c r="F425" s="624">
        <f>IF(ISNUMBER(F401),F401,IF($B$397&gt;E424, ROUND((E425*(1+'Building Info &amp; Assumptions'!$E$77))/1000,1)*1000,0))</f>
        <v>141042800</v>
      </c>
      <c r="G425" s="624">
        <f>IF(ISNUMBER(G401),G401,IF($B$397&gt;F424, ROUND((F425*(1+'Building Info &amp; Assumptions'!$E$77))/1000,1)*1000,0))</f>
        <v>145979300</v>
      </c>
      <c r="H425" s="624">
        <f>IF(ISNUMBER(H401),H401,IF($B$397&gt;G424, ROUND((G425*(1+'Building Info &amp; Assumptions'!$E$77))/1000,1)*1000,0))</f>
        <v>151088600</v>
      </c>
      <c r="I425" s="624">
        <f>IF(ISNUMBER(I401),I401,IF($B$397&gt;H424, ROUND((H425*(1+'Building Info &amp; Assumptions'!$E$77))/1000,1)*1000,0))</f>
        <v>156376700</v>
      </c>
      <c r="J425" s="624">
        <f>IF(ISNUMBER(J401),J401,IF($B$397&gt;I424, ROUND((I425*(1+'Building Info &amp; Assumptions'!$E$77))/1000,1)*1000,0))</f>
        <v>161849900</v>
      </c>
      <c r="K425" s="624">
        <f>IF(ISNUMBER(K401),K401,IF($B$397&gt;J424, ROUND((J425*(1+'Building Info &amp; Assumptions'!$E$77))/1000,1)*1000,0))</f>
        <v>167514600</v>
      </c>
      <c r="L425" s="624">
        <f>IF(ISNUMBER(L401),L401,IF($B$397&gt;K424, ROUND((K425*(1+'Building Info &amp; Assumptions'!$E$77))/1000,1)*1000,0))</f>
        <v>173377600</v>
      </c>
      <c r="M425" s="624">
        <f>IF(ISNUMBER(M401),M401,IF($B$397&gt;L424, ROUND((L425*(1+'Building Info &amp; Assumptions'!$E$77))/1000,1)*1000,0))</f>
        <v>179445800</v>
      </c>
      <c r="N425" s="624">
        <f>IF(ISNUMBER(N401),N401,IF($B$397&gt;M424, ROUND((M425*(1+'Building Info &amp; Assumptions'!$E$77))/1000,1)*1000,0))</f>
        <v>185726400</v>
      </c>
      <c r="O425" s="624">
        <f>IF(ISNUMBER(O401),O401,IF($B$397&gt;N424, ROUND((N425*(1+'Building Info &amp; Assumptions'!$E$77))/1000,1)*1000,0))</f>
        <v>192226800</v>
      </c>
      <c r="P425" s="624">
        <f>IF(ISNUMBER(P401),P401,IF($B$397&gt;O424, ROUND((O425*(1+'Building Info &amp; Assumptions'!$E$77))/1000,1)*1000,0))</f>
        <v>198954700</v>
      </c>
      <c r="Q425" s="624">
        <f>IF(ISNUMBER(Q401),Q401,IF($B$397&gt;P424, ROUND((P425*(1+'Building Info &amp; Assumptions'!$E$77))/1000,1)*1000,0))</f>
        <v>205918100</v>
      </c>
      <c r="R425" s="624">
        <f>IF(ISNUMBER(R401),R401,IF($B$397&gt;Q424, ROUND((Q425*(1+'Building Info &amp; Assumptions'!$E$77))/1000,1)*1000,0))</f>
        <v>213125200</v>
      </c>
      <c r="S425" s="624">
        <f>IF(ISNUMBER(S401),S401,IF($B$397&gt;R424, ROUND((R425*(1+'Building Info &amp; Assumptions'!$E$77))/1000,1)*1000,0))</f>
        <v>220584600</v>
      </c>
      <c r="T425" s="624">
        <f>IF(ISNUMBER(T401),T401,IF($B$397&gt;S424, ROUND((S425*(1+'Building Info &amp; Assumptions'!$E$77))/1000,1)*1000,0))</f>
        <v>228305100</v>
      </c>
      <c r="U425" s="624">
        <f>IF(ISNUMBER(U401),U401,IF($B$397&gt;T424, ROUND((T425*(1+'Building Info &amp; Assumptions'!$E$77))/1000,1)*1000,0))</f>
        <v>236295800</v>
      </c>
    </row>
    <row r="426" spans="1:21" hidden="1" outlineLevel="2">
      <c r="A426" s="511" t="s">
        <v>304</v>
      </c>
      <c r="B426" s="625">
        <f>IF(ISNUMBER(B402),B402,ROUND(('Building Info &amp; Assumptions'!$E$68*B425)/1000,1)*1000)</f>
        <v>4916400</v>
      </c>
      <c r="C426" s="625">
        <f>IF(ISNUMBER(C402),C402,ROUND(('Building Info &amp; Assumptions'!$E$68*C425)/1000,1)*1000)</f>
        <v>5088500</v>
      </c>
      <c r="D426" s="625">
        <f>IF(ISNUMBER(D402),D402,ROUND(('Building Info &amp; Assumptions'!$E$68*D425)/1000,1)*1000)</f>
        <v>5266600</v>
      </c>
      <c r="E426" s="625">
        <f>IF(ISNUMBER(E402),E402,ROUND(('Building Info &amp; Assumptions'!$E$68*E425)/1000,1)*1000)</f>
        <v>5450900</v>
      </c>
      <c r="F426" s="625">
        <f>IF(ISNUMBER(F402),F402,ROUND(('Building Info &amp; Assumptions'!$E$68*F425)/1000,1)*1000)</f>
        <v>5641700</v>
      </c>
      <c r="G426" s="625">
        <f>IF(ISNUMBER(G402),G402,ROUND(('Building Info &amp; Assumptions'!$E$68*G425)/1000,1)*1000)</f>
        <v>5839200</v>
      </c>
      <c r="H426" s="625">
        <f>IF(ISNUMBER(H402),H402,ROUND(('Building Info &amp; Assumptions'!$E$68*H425)/1000,1)*1000)</f>
        <v>6043500</v>
      </c>
      <c r="I426" s="625">
        <f>IF(ISNUMBER(I402),I402,ROUND(('Building Info &amp; Assumptions'!$E$68*I425)/1000,1)*1000)</f>
        <v>6255100</v>
      </c>
      <c r="J426" s="625">
        <f>IF(ISNUMBER(J402),J402,ROUND(('Building Info &amp; Assumptions'!$E$68*J425)/1000,1)*1000)</f>
        <v>6474000</v>
      </c>
      <c r="K426" s="625">
        <f>IF(ISNUMBER(K402),K402,ROUND(('Building Info &amp; Assumptions'!$E$68*K425)/1000,1)*1000)</f>
        <v>6700600</v>
      </c>
      <c r="L426" s="625">
        <f>IF(ISNUMBER(L402),L402,ROUND(('Building Info &amp; Assumptions'!$E$68*L425)/1000,1)*1000)</f>
        <v>6935100</v>
      </c>
      <c r="M426" s="625">
        <f>IF(ISNUMBER(M402),M402,ROUND(('Building Info &amp; Assumptions'!$E$68*M425)/1000,1)*1000)</f>
        <v>7177800</v>
      </c>
      <c r="N426" s="625">
        <f>IF(ISNUMBER(N402),N402,ROUND(('Building Info &amp; Assumptions'!$E$68*N425)/1000,1)*1000)</f>
        <v>7429100</v>
      </c>
      <c r="O426" s="625">
        <f>IF(ISNUMBER(O402),O402,ROUND(('Building Info &amp; Assumptions'!$E$68*O425)/1000,1)*1000)</f>
        <v>7689100</v>
      </c>
      <c r="P426" s="625">
        <f>IF(ISNUMBER(P402),P402,ROUND(('Building Info &amp; Assumptions'!$E$68*P425)/1000,1)*1000)</f>
        <v>7958200</v>
      </c>
      <c r="Q426" s="625">
        <f>IF(ISNUMBER(Q402),Q402,ROUND(('Building Info &amp; Assumptions'!$E$68*Q425)/1000,1)*1000)</f>
        <v>8236700.0000000009</v>
      </c>
      <c r="R426" s="625">
        <f>IF(ISNUMBER(R402),R402,ROUND(('Building Info &amp; Assumptions'!$E$68*R425)/1000,1)*1000)</f>
        <v>8525000</v>
      </c>
      <c r="S426" s="625">
        <f>IF(ISNUMBER(S402),S402,ROUND(('Building Info &amp; Assumptions'!$E$68*S425)/1000,1)*1000)</f>
        <v>8823400</v>
      </c>
      <c r="T426" s="625">
        <f>IF(ISNUMBER(T402),T402,ROUND(('Building Info &amp; Assumptions'!$E$68*T425)/1000,1)*1000)</f>
        <v>9132200</v>
      </c>
      <c r="U426" s="625">
        <f>IF(ISNUMBER(U402),U402,ROUND(('Building Info &amp; Assumptions'!$E$68*U425)/1000,1)*1000)</f>
        <v>9451800</v>
      </c>
    </row>
    <row r="427" spans="1:21" hidden="1" outlineLevel="2">
      <c r="A427" s="229"/>
      <c r="B427" s="626">
        <f>B425-B426</f>
        <v>117994261.11111112</v>
      </c>
      <c r="C427" s="626">
        <f t="shared" ref="C427:U427" si="44">C425-C426</f>
        <v>122124000</v>
      </c>
      <c r="D427" s="626">
        <f t="shared" si="44"/>
        <v>126398300</v>
      </c>
      <c r="E427" s="626">
        <f t="shared" si="44"/>
        <v>130822300</v>
      </c>
      <c r="F427" s="626">
        <f t="shared" si="44"/>
        <v>135401100</v>
      </c>
      <c r="G427" s="626">
        <f t="shared" si="44"/>
        <v>140140100</v>
      </c>
      <c r="H427" s="626">
        <f t="shared" si="44"/>
        <v>145045100</v>
      </c>
      <c r="I427" s="626">
        <f t="shared" si="44"/>
        <v>150121600</v>
      </c>
      <c r="J427" s="626">
        <f t="shared" si="44"/>
        <v>155375900</v>
      </c>
      <c r="K427" s="626">
        <f t="shared" si="44"/>
        <v>160814000</v>
      </c>
      <c r="L427" s="626">
        <f t="shared" si="44"/>
        <v>166442500</v>
      </c>
      <c r="M427" s="626">
        <f t="shared" si="44"/>
        <v>172268000</v>
      </c>
      <c r="N427" s="626">
        <f t="shared" si="44"/>
        <v>178297300</v>
      </c>
      <c r="O427" s="626">
        <f t="shared" si="44"/>
        <v>184537700</v>
      </c>
      <c r="P427" s="626">
        <f t="shared" si="44"/>
        <v>190996500</v>
      </c>
      <c r="Q427" s="626">
        <f t="shared" si="44"/>
        <v>197681400</v>
      </c>
      <c r="R427" s="626">
        <f t="shared" si="44"/>
        <v>204600200</v>
      </c>
      <c r="S427" s="626">
        <f t="shared" si="44"/>
        <v>211761200</v>
      </c>
      <c r="T427" s="626">
        <f t="shared" si="44"/>
        <v>219172900</v>
      </c>
      <c r="U427" s="626">
        <f t="shared" si="44"/>
        <v>226844000</v>
      </c>
    </row>
    <row r="428" spans="1:21" hidden="1" outlineLevel="2">
      <c r="A428" s="511" t="s">
        <v>305</v>
      </c>
      <c r="B428" s="625">
        <f>IF(ISNUMBER(B404),B404,'Building Info &amp; Assumptions'!$B$56)</f>
        <v>0</v>
      </c>
      <c r="C428" s="625">
        <f>IF(ISNUMBER(C404),C404,IF($B$397&gt;B424, ROUND((B428*(1+'Building Info &amp; Assumptions'!$E$77))/1000,1)*1000,0))</f>
        <v>0</v>
      </c>
      <c r="D428" s="625">
        <f>IF(ISNUMBER(D404),D404,IF($B$397&gt;C424, ROUND((C428*(1+'Building Info &amp; Assumptions'!$E$77))/1000,1)*1000,0))</f>
        <v>0</v>
      </c>
      <c r="E428" s="625">
        <f>IF(ISNUMBER(E404),E404,IF($B$397&gt;D424, ROUND((D428*(1+'Building Info &amp; Assumptions'!$E$77))/1000,1)*1000,0))</f>
        <v>0</v>
      </c>
      <c r="F428" s="625">
        <f>IF(ISNUMBER(F404),F404,IF($B$397&gt;E424, ROUND((E428*(1+'Building Info &amp; Assumptions'!$E$77))/1000,1)*1000,0))</f>
        <v>0</v>
      </c>
      <c r="G428" s="625">
        <f>IF(ISNUMBER(G404),G404,IF($B$397&gt;F424, ROUND((F428*(1+'Building Info &amp; Assumptions'!$E$77))/1000,1)*1000,0))</f>
        <v>0</v>
      </c>
      <c r="H428" s="625">
        <f>IF(ISNUMBER(H404),H404,IF($B$397&gt;G424, ROUND((G428*(1+'Building Info &amp; Assumptions'!$E$77))/1000,1)*1000,0))</f>
        <v>0</v>
      </c>
      <c r="I428" s="625">
        <f>IF(ISNUMBER(I404),I404,IF($B$397&gt;H424, ROUND((H428*(1+'Building Info &amp; Assumptions'!$E$77))/1000,1)*1000,0))</f>
        <v>0</v>
      </c>
      <c r="J428" s="625">
        <f>IF(ISNUMBER(J404),J404,IF($B$397&gt;I424, ROUND((I428*(1+'Building Info &amp; Assumptions'!$E$77))/1000,1)*1000,0))</f>
        <v>0</v>
      </c>
      <c r="K428" s="625">
        <f>IF(ISNUMBER(K404),K404,IF($B$397&gt;J424, ROUND((J428*(1+'Building Info &amp; Assumptions'!$E$77))/1000,1)*1000,0))</f>
        <v>0</v>
      </c>
      <c r="L428" s="625">
        <f>IF(ISNUMBER(L404),L404,IF($B$397&gt;K424, ROUND((K428*(1+'Building Info &amp; Assumptions'!$E$77))/1000,1)*1000,0))</f>
        <v>0</v>
      </c>
      <c r="M428" s="625">
        <f>IF(ISNUMBER(M404),M404,IF($B$397&gt;L424, ROUND((L428*(1+'Building Info &amp; Assumptions'!$E$77))/1000,1)*1000,0))</f>
        <v>0</v>
      </c>
      <c r="N428" s="625">
        <f>IF(ISNUMBER(N404),N404,IF($B$397&gt;M424, ROUND((M428*(1+'Building Info &amp; Assumptions'!$E$77))/1000,1)*1000,0))</f>
        <v>0</v>
      </c>
      <c r="O428" s="625">
        <f>IF(ISNUMBER(O404),O404,IF($B$397&gt;N424, ROUND((N428*(1+'Building Info &amp; Assumptions'!$E$77))/1000,1)*1000,0))</f>
        <v>0</v>
      </c>
      <c r="P428" s="625">
        <f>IF(ISNUMBER(P404),P404,IF($B$397&gt;O424, ROUND((O428*(1+'Building Info &amp; Assumptions'!$E$77))/1000,1)*1000,0))</f>
        <v>0</v>
      </c>
      <c r="Q428" s="625">
        <f>IF(ISNUMBER(Q404),Q404,IF($B$397&gt;P424, ROUND((P428*(1+'Building Info &amp; Assumptions'!$E$77))/1000,1)*1000,0))</f>
        <v>0</v>
      </c>
      <c r="R428" s="625">
        <f>IF(ISNUMBER(R404),R404,IF($B$397&gt;Q424, ROUND((Q428*(1+'Building Info &amp; Assumptions'!$E$77))/1000,1)*1000,0))</f>
        <v>0</v>
      </c>
      <c r="S428" s="625">
        <f>IF(ISNUMBER(S404),S404,IF($B$397&gt;R424, ROUND((R428*(1+'Building Info &amp; Assumptions'!$E$77))/1000,1)*1000,0))</f>
        <v>0</v>
      </c>
      <c r="T428" s="625">
        <f>IF(ISNUMBER(T404),T404,IF($B$397&gt;S424, ROUND((S428*(1+'Building Info &amp; Assumptions'!$E$77))/1000,1)*1000,0))</f>
        <v>0</v>
      </c>
      <c r="U428" s="625">
        <f>IF(ISNUMBER(U404),U404,IF($B$397&gt;T424, ROUND((T428*(1+'Building Info &amp; Assumptions'!$E$77))/1000,1)*1000,0))</f>
        <v>0</v>
      </c>
    </row>
    <row r="429" spans="1:21" hidden="1" outlineLevel="2">
      <c r="A429" s="511" t="s">
        <v>306</v>
      </c>
      <c r="B429" s="627">
        <f>B427+B428</f>
        <v>117994261.11111112</v>
      </c>
      <c r="C429" s="627">
        <f t="shared" ref="C429:U429" si="45">C427+C428</f>
        <v>122124000</v>
      </c>
      <c r="D429" s="627">
        <f t="shared" si="45"/>
        <v>126398300</v>
      </c>
      <c r="E429" s="627">
        <f t="shared" si="45"/>
        <v>130822300</v>
      </c>
      <c r="F429" s="627">
        <f t="shared" si="45"/>
        <v>135401100</v>
      </c>
      <c r="G429" s="627">
        <f t="shared" si="45"/>
        <v>140140100</v>
      </c>
      <c r="H429" s="627">
        <f t="shared" si="45"/>
        <v>145045100</v>
      </c>
      <c r="I429" s="627">
        <f t="shared" si="45"/>
        <v>150121600</v>
      </c>
      <c r="J429" s="627">
        <f t="shared" si="45"/>
        <v>155375900</v>
      </c>
      <c r="K429" s="627">
        <f t="shared" si="45"/>
        <v>160814000</v>
      </c>
      <c r="L429" s="627">
        <f t="shared" si="45"/>
        <v>166442500</v>
      </c>
      <c r="M429" s="627">
        <f t="shared" si="45"/>
        <v>172268000</v>
      </c>
      <c r="N429" s="627">
        <f t="shared" si="45"/>
        <v>178297300</v>
      </c>
      <c r="O429" s="627">
        <f t="shared" si="45"/>
        <v>184537700</v>
      </c>
      <c r="P429" s="627">
        <f t="shared" si="45"/>
        <v>190996500</v>
      </c>
      <c r="Q429" s="627">
        <f t="shared" si="45"/>
        <v>197681400</v>
      </c>
      <c r="R429" s="627">
        <f t="shared" si="45"/>
        <v>204600200</v>
      </c>
      <c r="S429" s="627">
        <f t="shared" si="45"/>
        <v>211761200</v>
      </c>
      <c r="T429" s="627">
        <f t="shared" si="45"/>
        <v>219172900</v>
      </c>
      <c r="U429" s="627">
        <f t="shared" si="45"/>
        <v>226844000</v>
      </c>
    </row>
    <row r="430" spans="1:21" hidden="1" outlineLevel="2">
      <c r="A430" s="511"/>
      <c r="B430" s="627"/>
      <c r="C430" s="627"/>
      <c r="D430" s="627"/>
      <c r="E430" s="627"/>
      <c r="F430" s="627"/>
      <c r="G430" s="627"/>
      <c r="H430" s="627"/>
      <c r="I430" s="627"/>
      <c r="J430" s="627"/>
      <c r="K430" s="627"/>
      <c r="L430" s="627"/>
      <c r="M430" s="627"/>
      <c r="N430" s="627"/>
      <c r="O430" s="627"/>
      <c r="P430" s="627"/>
      <c r="Q430" s="627"/>
      <c r="R430" s="627"/>
      <c r="S430" s="627"/>
      <c r="T430" s="627"/>
      <c r="U430" s="627"/>
    </row>
    <row r="431" spans="1:21" hidden="1" outlineLevel="2">
      <c r="A431" s="280" t="s">
        <v>307</v>
      </c>
      <c r="B431" s="628"/>
      <c r="C431" s="628"/>
      <c r="D431" s="628"/>
      <c r="E431" s="628"/>
      <c r="F431" s="628"/>
      <c r="G431" s="628"/>
      <c r="H431" s="628"/>
      <c r="I431" s="628"/>
      <c r="J431" s="628"/>
      <c r="K431" s="628"/>
      <c r="L431" s="628"/>
      <c r="M431" s="628"/>
      <c r="N431" s="628"/>
      <c r="O431" s="628"/>
      <c r="P431" s="628"/>
      <c r="Q431" s="628"/>
      <c r="R431" s="628"/>
      <c r="S431" s="628"/>
      <c r="T431" s="628"/>
      <c r="U431" s="628"/>
    </row>
    <row r="432" spans="1:21" hidden="1" outlineLevel="2">
      <c r="A432" s="642" t="s">
        <v>314</v>
      </c>
      <c r="B432" s="629">
        <f>IF(B$411=0,IF($B$51="In-House","",B429*'Building Info &amp; Assumptions'!$B$62),"")</f>
        <v>5899713.055555556</v>
      </c>
      <c r="C432" s="629">
        <f>IF(C$411=0,IF($B$51="In-House","",C429*'Building Info &amp; Assumptions'!$B$62),"")</f>
        <v>6106200</v>
      </c>
      <c r="D432" s="629">
        <f>IF(D$411=0,IF($B$51="In-House","",D429*'Building Info &amp; Assumptions'!$B$62),"")</f>
        <v>6319915</v>
      </c>
      <c r="E432" s="629">
        <f>IF(E$411=0,IF($B$51="In-House","",E429*'Building Info &amp; Assumptions'!$B$62),"")</f>
        <v>6541115</v>
      </c>
      <c r="F432" s="629">
        <f>IF(F$411=0,IF($B$51="In-House","",F429*'Building Info &amp; Assumptions'!$B$62),"")</f>
        <v>6770055</v>
      </c>
      <c r="G432" s="629">
        <f>IF(G$411=0,IF($B$51="In-House","",G429*'Building Info &amp; Assumptions'!$B$62),"")</f>
        <v>7007005</v>
      </c>
      <c r="H432" s="629">
        <f>IF(H$411=0,IF($B$51="In-House","",H429*'Building Info &amp; Assumptions'!$B$62),"")</f>
        <v>7252255</v>
      </c>
      <c r="I432" s="629">
        <f>IF(I$411=0,IF($B$51="In-House","",I429*'Building Info &amp; Assumptions'!$B$62),"")</f>
        <v>7506080</v>
      </c>
      <c r="J432" s="629">
        <f>IF(J$411=0,IF($B$51="In-House","",J429*'Building Info &amp; Assumptions'!$B$62),"")</f>
        <v>7768795</v>
      </c>
      <c r="K432" s="629">
        <f>IF(K$411=0,IF($B$51="In-House","",K429*'Building Info &amp; Assumptions'!$B$62),"")</f>
        <v>8040700</v>
      </c>
      <c r="L432" s="629">
        <f>IF(L$411=0,IF($B$51="In-House","",L429*'Building Info &amp; Assumptions'!$B$62),"")</f>
        <v>8322125</v>
      </c>
      <c r="M432" s="629">
        <f>IF(M$411=0,IF($B$51="In-House","",M429*'Building Info &amp; Assumptions'!$B$62),"")</f>
        <v>8613400</v>
      </c>
      <c r="N432" s="629">
        <f>IF(N$411=0,IF($B$51="In-House","",N429*'Building Info &amp; Assumptions'!$B$62),"")</f>
        <v>8914865</v>
      </c>
      <c r="O432" s="629">
        <f>IF(O$411=0,IF($B$51="In-House","",O429*'Building Info &amp; Assumptions'!$B$62),"")</f>
        <v>9226885</v>
      </c>
      <c r="P432" s="629">
        <f>IF(P$411=0,IF($B$51="In-House","",P429*'Building Info &amp; Assumptions'!$B$62),"")</f>
        <v>9549825</v>
      </c>
      <c r="Q432" s="629">
        <f>IF(Q$411=0,IF($B$51="In-House","",Q429*'Building Info &amp; Assumptions'!$B$62),"")</f>
        <v>9884070</v>
      </c>
      <c r="R432" s="629">
        <f>IF(R$411=0,IF($B$51="In-House","",R429*'Building Info &amp; Assumptions'!$B$62),"")</f>
        <v>10230010</v>
      </c>
      <c r="S432" s="629">
        <f>IF(S$411=0,IF($B$51="In-House","",S429*'Building Info &amp; Assumptions'!$B$62),"")</f>
        <v>10588060</v>
      </c>
      <c r="T432" s="629">
        <f>IF(T$411=0,IF($B$51="In-House","",T429*'Building Info &amp; Assumptions'!$B$62),"")</f>
        <v>10958645</v>
      </c>
      <c r="U432" s="629">
        <f>IF(U$411=0,IF($B$51="In-House","",U429*'Building Info &amp; Assumptions'!$B$62),"")</f>
        <v>11342200</v>
      </c>
    </row>
    <row r="433" spans="1:21" hidden="1" outlineLevel="2">
      <c r="A433" s="511" t="str">
        <f>D70</f>
        <v>Cleaning</v>
      </c>
      <c r="B433" s="629">
        <f>IF(0=B$411,$B$386,"")</f>
        <v>6920000</v>
      </c>
      <c r="C433" s="629">
        <f t="shared" ref="C433:U433" si="46">IF(C411=0,B433*(1+$B$77),"")</f>
        <v>7162199.9999999991</v>
      </c>
      <c r="D433" s="629">
        <f t="shared" si="46"/>
        <v>7412876.9999999981</v>
      </c>
      <c r="E433" s="629">
        <f t="shared" si="46"/>
        <v>7672327.6949999975</v>
      </c>
      <c r="F433" s="629">
        <f t="shared" si="46"/>
        <v>7940859.164324997</v>
      </c>
      <c r="G433" s="629">
        <f t="shared" si="46"/>
        <v>8218789.2350763716</v>
      </c>
      <c r="H433" s="629">
        <f t="shared" si="46"/>
        <v>8506446.8583040442</v>
      </c>
      <c r="I433" s="629">
        <f t="shared" si="46"/>
        <v>8804172.4983446859</v>
      </c>
      <c r="J433" s="629">
        <f t="shared" si="46"/>
        <v>9112318.5357867498</v>
      </c>
      <c r="K433" s="629">
        <f t="shared" si="46"/>
        <v>9431249.6845392846</v>
      </c>
      <c r="L433" s="629">
        <f t="shared" si="46"/>
        <v>9761343.4234981593</v>
      </c>
      <c r="M433" s="629">
        <f t="shared" si="46"/>
        <v>10102990.443320595</v>
      </c>
      <c r="N433" s="629">
        <f t="shared" si="46"/>
        <v>10456595.108836815</v>
      </c>
      <c r="O433" s="629">
        <f t="shared" si="46"/>
        <v>10822575.937646102</v>
      </c>
      <c r="P433" s="629">
        <f t="shared" si="46"/>
        <v>11201366.095463715</v>
      </c>
      <c r="Q433" s="629">
        <f t="shared" si="46"/>
        <v>11593413.908804944</v>
      </c>
      <c r="R433" s="629">
        <f t="shared" si="46"/>
        <v>11999183.395613115</v>
      </c>
      <c r="S433" s="629">
        <f t="shared" si="46"/>
        <v>12419154.814459573</v>
      </c>
      <c r="T433" s="629">
        <f t="shared" si="46"/>
        <v>12853825.232965657</v>
      </c>
      <c r="U433" s="629">
        <f t="shared" si="46"/>
        <v>13303709.116119454</v>
      </c>
    </row>
    <row r="434" spans="1:21" hidden="1" outlineLevel="2">
      <c r="A434" s="511" t="str">
        <f>D71</f>
        <v>Repair / Maintenance</v>
      </c>
      <c r="B434" s="629">
        <f>IF(0=B$411,$B$387,"")</f>
        <v>7040000.0000000009</v>
      </c>
      <c r="C434" s="629">
        <f t="shared" ref="C434:U434" si="47">IF(C411=0,B434*(1+$B$77),"")</f>
        <v>7286400</v>
      </c>
      <c r="D434" s="629">
        <f t="shared" si="47"/>
        <v>7541423.9999999991</v>
      </c>
      <c r="E434" s="629">
        <f t="shared" si="47"/>
        <v>7805373.839999998</v>
      </c>
      <c r="F434" s="629">
        <f t="shared" si="47"/>
        <v>8078561.9243999971</v>
      </c>
      <c r="G434" s="629">
        <f t="shared" si="47"/>
        <v>8361311.591753996</v>
      </c>
      <c r="H434" s="629">
        <f t="shared" si="47"/>
        <v>8653957.4974653851</v>
      </c>
      <c r="I434" s="629">
        <f t="shared" si="47"/>
        <v>8956846.0098766722</v>
      </c>
      <c r="J434" s="629">
        <f t="shared" si="47"/>
        <v>9270335.6202223543</v>
      </c>
      <c r="K434" s="629">
        <f t="shared" si="47"/>
        <v>9594797.3669301365</v>
      </c>
      <c r="L434" s="629">
        <f t="shared" si="47"/>
        <v>9930615.2747726906</v>
      </c>
      <c r="M434" s="629">
        <f t="shared" si="47"/>
        <v>10278186.809389735</v>
      </c>
      <c r="N434" s="629">
        <f t="shared" si="47"/>
        <v>10637923.347718375</v>
      </c>
      <c r="O434" s="629">
        <f t="shared" si="47"/>
        <v>11010250.664888518</v>
      </c>
      <c r="P434" s="629">
        <f t="shared" si="47"/>
        <v>11395609.438159615</v>
      </c>
      <c r="Q434" s="629">
        <f t="shared" si="47"/>
        <v>11794455.7684952</v>
      </c>
      <c r="R434" s="629">
        <f t="shared" si="47"/>
        <v>12207261.720392531</v>
      </c>
      <c r="S434" s="629">
        <f t="shared" si="47"/>
        <v>12634515.880606268</v>
      </c>
      <c r="T434" s="629">
        <f t="shared" si="47"/>
        <v>13076723.936427485</v>
      </c>
      <c r="U434" s="629">
        <f t="shared" si="47"/>
        <v>13534409.274202446</v>
      </c>
    </row>
    <row r="435" spans="1:21" hidden="1" outlineLevel="2">
      <c r="A435" s="511" t="str">
        <f>D72</f>
        <v>Utility</v>
      </c>
      <c r="B435" s="629">
        <f>IF(0=B$411,$B$388,B408)</f>
        <v>6680000</v>
      </c>
      <c r="C435" s="629">
        <f t="shared" ref="C435:U435" si="48">IF(C411=0,B435*(1+$B$77),"")</f>
        <v>6913799.9999999991</v>
      </c>
      <c r="D435" s="629">
        <f t="shared" si="48"/>
        <v>7155782.9999999981</v>
      </c>
      <c r="E435" s="629">
        <f t="shared" si="48"/>
        <v>7406235.4049999975</v>
      </c>
      <c r="F435" s="629">
        <f t="shared" si="48"/>
        <v>7665453.6441749968</v>
      </c>
      <c r="G435" s="629">
        <f t="shared" si="48"/>
        <v>7933744.5217211209</v>
      </c>
      <c r="H435" s="629">
        <f t="shared" si="48"/>
        <v>8211425.5799813597</v>
      </c>
      <c r="I435" s="629">
        <f t="shared" si="48"/>
        <v>8498825.4752807058</v>
      </c>
      <c r="J435" s="629">
        <f t="shared" si="48"/>
        <v>8796284.3669155296</v>
      </c>
      <c r="K435" s="629">
        <f t="shared" si="48"/>
        <v>9104154.3197575733</v>
      </c>
      <c r="L435" s="629">
        <f t="shared" si="48"/>
        <v>9422799.7209490873</v>
      </c>
      <c r="M435" s="629">
        <f t="shared" si="48"/>
        <v>9752597.7111823037</v>
      </c>
      <c r="N435" s="629">
        <f t="shared" si="48"/>
        <v>10093938.631073684</v>
      </c>
      <c r="O435" s="629">
        <f t="shared" si="48"/>
        <v>10447226.483161261</v>
      </c>
      <c r="P435" s="629">
        <f t="shared" si="48"/>
        <v>10812879.410071904</v>
      </c>
      <c r="Q435" s="629">
        <f t="shared" si="48"/>
        <v>11191330.18942442</v>
      </c>
      <c r="R435" s="629">
        <f t="shared" si="48"/>
        <v>11583026.746054273</v>
      </c>
      <c r="S435" s="629">
        <f t="shared" si="48"/>
        <v>11988432.682166172</v>
      </c>
      <c r="T435" s="629">
        <f t="shared" si="48"/>
        <v>12408027.826041987</v>
      </c>
      <c r="U435" s="629">
        <f t="shared" si="48"/>
        <v>12842308.799953455</v>
      </c>
    </row>
    <row r="436" spans="1:21" hidden="1" outlineLevel="2">
      <c r="A436" s="511" t="s">
        <v>315</v>
      </c>
      <c r="B436" s="629">
        <f>IF(0=B$411,$F$355+$F$360-$F$366,"")</f>
        <v>10504000</v>
      </c>
      <c r="C436" s="629">
        <f t="shared" ref="C436:U436" si="49">IF(C411=0,$F$347*(1+$B$78)^B424+$F$348*(1+$B$79)^B424+$F$349*(1+$B$80)^B424+$F$351*(1+$B$81)^B424+$F$350*(1+$B$82)^B424+$F$352*(1+$B$83)^B424,"")</f>
        <v>10645440</v>
      </c>
      <c r="D436" s="629">
        <f t="shared" si="49"/>
        <v>10789022.4</v>
      </c>
      <c r="E436" s="629">
        <f t="shared" si="49"/>
        <v>10934783.183999998</v>
      </c>
      <c r="F436" s="629">
        <f t="shared" si="49"/>
        <v>11082758.98704</v>
      </c>
      <c r="G436" s="629">
        <f t="shared" si="49"/>
        <v>11232987.107534399</v>
      </c>
      <c r="H436" s="629">
        <f t="shared" si="49"/>
        <v>11385505.519846225</v>
      </c>
      <c r="I436" s="629">
        <f t="shared" si="49"/>
        <v>11540352.887105893</v>
      </c>
      <c r="J436" s="629">
        <f t="shared" si="49"/>
        <v>11697568.57427939</v>
      </c>
      <c r="K436" s="629">
        <f t="shared" si="49"/>
        <v>11857192.661490666</v>
      </c>
      <c r="L436" s="629">
        <f t="shared" si="49"/>
        <v>12019265.957603425</v>
      </c>
      <c r="M436" s="629">
        <f t="shared" si="49"/>
        <v>12183830.014067266</v>
      </c>
      <c r="N436" s="629">
        <f t="shared" si="49"/>
        <v>12350927.139033504</v>
      </c>
      <c r="O436" s="629">
        <f t="shared" si="49"/>
        <v>12520600.411745917</v>
      </c>
      <c r="P436" s="629">
        <f t="shared" si="49"/>
        <v>12692893.697211895</v>
      </c>
      <c r="Q436" s="629">
        <f t="shared" si="49"/>
        <v>12867851.6611595</v>
      </c>
      <c r="R436" s="629">
        <f t="shared" si="49"/>
        <v>13045519.785286095</v>
      </c>
      <c r="S436" s="629">
        <f t="shared" si="49"/>
        <v>13225944.382804256</v>
      </c>
      <c r="T436" s="629">
        <f t="shared" si="49"/>
        <v>13409172.614290904</v>
      </c>
      <c r="U436" s="629">
        <f t="shared" si="49"/>
        <v>13595252.503845587</v>
      </c>
    </row>
    <row r="437" spans="1:21" hidden="1" outlineLevel="2">
      <c r="A437" s="511" t="str">
        <f>D73</f>
        <v>Security</v>
      </c>
      <c r="B437" s="629">
        <f>IF(0=B$411,$B$387,"")</f>
        <v>7040000.0000000009</v>
      </c>
      <c r="C437" s="629">
        <f t="shared" ref="C437:U437" si="50">IF(C411=0,B437*(1+$B$77),"")</f>
        <v>7286400</v>
      </c>
      <c r="D437" s="629">
        <f t="shared" si="50"/>
        <v>7541423.9999999991</v>
      </c>
      <c r="E437" s="629">
        <f t="shared" si="50"/>
        <v>7805373.839999998</v>
      </c>
      <c r="F437" s="629">
        <f t="shared" si="50"/>
        <v>8078561.9243999971</v>
      </c>
      <c r="G437" s="629">
        <f t="shared" si="50"/>
        <v>8361311.591753996</v>
      </c>
      <c r="H437" s="629">
        <f t="shared" si="50"/>
        <v>8653957.4974653851</v>
      </c>
      <c r="I437" s="629">
        <f t="shared" si="50"/>
        <v>8956846.0098766722</v>
      </c>
      <c r="J437" s="629">
        <f t="shared" si="50"/>
        <v>9270335.6202223543</v>
      </c>
      <c r="K437" s="629">
        <f t="shared" si="50"/>
        <v>9594797.3669301365</v>
      </c>
      <c r="L437" s="629">
        <f t="shared" si="50"/>
        <v>9930615.2747726906</v>
      </c>
      <c r="M437" s="629">
        <f t="shared" si="50"/>
        <v>10278186.809389735</v>
      </c>
      <c r="N437" s="629">
        <f t="shared" si="50"/>
        <v>10637923.347718375</v>
      </c>
      <c r="O437" s="629">
        <f t="shared" si="50"/>
        <v>11010250.664888518</v>
      </c>
      <c r="P437" s="629">
        <f t="shared" si="50"/>
        <v>11395609.438159615</v>
      </c>
      <c r="Q437" s="629">
        <f t="shared" si="50"/>
        <v>11794455.7684952</v>
      </c>
      <c r="R437" s="629">
        <f t="shared" si="50"/>
        <v>12207261.720392531</v>
      </c>
      <c r="S437" s="629">
        <f t="shared" si="50"/>
        <v>12634515.880606268</v>
      </c>
      <c r="T437" s="629">
        <f t="shared" si="50"/>
        <v>13076723.936427485</v>
      </c>
      <c r="U437" s="629">
        <f t="shared" si="50"/>
        <v>13534409.274202446</v>
      </c>
    </row>
    <row r="438" spans="1:21" hidden="1" outlineLevel="2">
      <c r="A438" s="511" t="str">
        <f>D74</f>
        <v>Administrative</v>
      </c>
      <c r="B438" s="629">
        <f>IF(0=B$411,$B$388,"")</f>
        <v>6680000</v>
      </c>
      <c r="C438" s="629">
        <f t="shared" ref="C438:U438" si="51">IF(C411=0,B438*(1+$B$77),"")</f>
        <v>6913799.9999999991</v>
      </c>
      <c r="D438" s="629">
        <f t="shared" si="51"/>
        <v>7155782.9999999981</v>
      </c>
      <c r="E438" s="629">
        <f t="shared" si="51"/>
        <v>7406235.4049999975</v>
      </c>
      <c r="F438" s="629">
        <f t="shared" si="51"/>
        <v>7665453.6441749968</v>
      </c>
      <c r="G438" s="629">
        <f t="shared" si="51"/>
        <v>7933744.5217211209</v>
      </c>
      <c r="H438" s="629">
        <f t="shared" si="51"/>
        <v>8211425.5799813597</v>
      </c>
      <c r="I438" s="629">
        <f t="shared" si="51"/>
        <v>8498825.4752807058</v>
      </c>
      <c r="J438" s="629">
        <f t="shared" si="51"/>
        <v>8796284.3669155296</v>
      </c>
      <c r="K438" s="629">
        <f t="shared" si="51"/>
        <v>9104154.3197575733</v>
      </c>
      <c r="L438" s="629">
        <f t="shared" si="51"/>
        <v>9422799.7209490873</v>
      </c>
      <c r="M438" s="629">
        <f t="shared" si="51"/>
        <v>9752597.7111823037</v>
      </c>
      <c r="N438" s="629">
        <f t="shared" si="51"/>
        <v>10093938.631073684</v>
      </c>
      <c r="O438" s="629">
        <f t="shared" si="51"/>
        <v>10447226.483161261</v>
      </c>
      <c r="P438" s="629">
        <f t="shared" si="51"/>
        <v>10812879.410071904</v>
      </c>
      <c r="Q438" s="629">
        <f t="shared" si="51"/>
        <v>11191330.18942442</v>
      </c>
      <c r="R438" s="629">
        <f t="shared" si="51"/>
        <v>11583026.746054273</v>
      </c>
      <c r="S438" s="629">
        <f t="shared" si="51"/>
        <v>11988432.682166172</v>
      </c>
      <c r="T438" s="629">
        <f t="shared" si="51"/>
        <v>12408027.826041987</v>
      </c>
      <c r="U438" s="629">
        <f t="shared" si="51"/>
        <v>12842308.799953455</v>
      </c>
    </row>
    <row r="439" spans="1:21" hidden="1" outlineLevel="2">
      <c r="A439" s="511" t="str">
        <f>D75</f>
        <v>Fixed</v>
      </c>
      <c r="B439" s="629">
        <f>IF(0=B$411,$B$389,"")</f>
        <v>2279999.9999999995</v>
      </c>
      <c r="C439" s="629">
        <f t="shared" ref="C439:U439" si="52">IF(C411=0,B439*(1+$B$77),"")</f>
        <v>2359799.9999999995</v>
      </c>
      <c r="D439" s="629">
        <f t="shared" si="52"/>
        <v>2442392.9999999995</v>
      </c>
      <c r="E439" s="629">
        <f t="shared" si="52"/>
        <v>2527876.7549999994</v>
      </c>
      <c r="F439" s="629">
        <f t="shared" si="52"/>
        <v>2616352.4414249994</v>
      </c>
      <c r="G439" s="629">
        <f t="shared" si="52"/>
        <v>2707924.7768748743</v>
      </c>
      <c r="H439" s="629">
        <f t="shared" si="52"/>
        <v>2802702.1440654946</v>
      </c>
      <c r="I439" s="629">
        <f t="shared" si="52"/>
        <v>2900796.7191077867</v>
      </c>
      <c r="J439" s="629">
        <f t="shared" si="52"/>
        <v>3002324.6042765588</v>
      </c>
      <c r="K439" s="629">
        <f t="shared" si="52"/>
        <v>3107405.9654262383</v>
      </c>
      <c r="L439" s="629">
        <f t="shared" si="52"/>
        <v>3216165.1742161564</v>
      </c>
      <c r="M439" s="629">
        <f t="shared" si="52"/>
        <v>3328730.9553137217</v>
      </c>
      <c r="N439" s="629">
        <f t="shared" si="52"/>
        <v>3445236.5387497018</v>
      </c>
      <c r="O439" s="629">
        <f t="shared" si="52"/>
        <v>3565819.8176059411</v>
      </c>
      <c r="P439" s="629">
        <f t="shared" si="52"/>
        <v>3690623.5112221488</v>
      </c>
      <c r="Q439" s="629">
        <f t="shared" si="52"/>
        <v>3819795.3341149236</v>
      </c>
      <c r="R439" s="629">
        <f t="shared" si="52"/>
        <v>3953488.1708089458</v>
      </c>
      <c r="S439" s="629">
        <f t="shared" si="52"/>
        <v>4091860.2567872587</v>
      </c>
      <c r="T439" s="629">
        <f t="shared" si="52"/>
        <v>4235075.3657748122</v>
      </c>
      <c r="U439" s="629">
        <f t="shared" si="52"/>
        <v>4383303.0035769306</v>
      </c>
    </row>
    <row r="440" spans="1:21" hidden="1" outlineLevel="2">
      <c r="A440" s="511" t="str">
        <f>D76</f>
        <v>Parking</v>
      </c>
      <c r="B440" s="629">
        <f>IF(0=B$411,$B$390,"")</f>
        <v>2900000</v>
      </c>
      <c r="C440" s="629">
        <f t="shared" ref="C440:U440" si="53">IF(C411=0,B440*(1+$B$77),"")</f>
        <v>3001500</v>
      </c>
      <c r="D440" s="629">
        <f t="shared" si="53"/>
        <v>3106552.4999999995</v>
      </c>
      <c r="E440" s="629">
        <f t="shared" si="53"/>
        <v>3215281.8374999994</v>
      </c>
      <c r="F440" s="629">
        <f t="shared" si="53"/>
        <v>3327816.7018124992</v>
      </c>
      <c r="G440" s="629">
        <f t="shared" si="53"/>
        <v>3444290.2863759366</v>
      </c>
      <c r="H440" s="629">
        <f t="shared" si="53"/>
        <v>3564840.4463990941</v>
      </c>
      <c r="I440" s="629">
        <f t="shared" si="53"/>
        <v>3689609.8620230621</v>
      </c>
      <c r="J440" s="629">
        <f t="shared" si="53"/>
        <v>3818746.2071938692</v>
      </c>
      <c r="K440" s="629">
        <f t="shared" si="53"/>
        <v>3952402.3244456542</v>
      </c>
      <c r="L440" s="629">
        <f t="shared" si="53"/>
        <v>4090736.4058012515</v>
      </c>
      <c r="M440" s="629">
        <f t="shared" si="53"/>
        <v>4233912.180004295</v>
      </c>
      <c r="N440" s="629">
        <f t="shared" si="53"/>
        <v>4382099.1063044453</v>
      </c>
      <c r="O440" s="629">
        <f t="shared" si="53"/>
        <v>4535472.5750251003</v>
      </c>
      <c r="P440" s="629">
        <f t="shared" si="53"/>
        <v>4694214.1151509788</v>
      </c>
      <c r="Q440" s="629">
        <f t="shared" si="53"/>
        <v>4858511.6091812626</v>
      </c>
      <c r="R440" s="629">
        <f t="shared" si="53"/>
        <v>5028559.5155026065</v>
      </c>
      <c r="S440" s="629">
        <f t="shared" si="53"/>
        <v>5204559.0985451974</v>
      </c>
      <c r="T440" s="629">
        <f t="shared" si="53"/>
        <v>5386718.6669942793</v>
      </c>
      <c r="U440" s="629">
        <f t="shared" si="53"/>
        <v>5575253.820339079</v>
      </c>
    </row>
    <row r="441" spans="1:21" hidden="1" outlineLevel="2">
      <c r="A441" s="229"/>
      <c r="B441" s="624"/>
      <c r="C441" s="629"/>
      <c r="D441" s="629"/>
      <c r="E441" s="629"/>
      <c r="F441" s="629"/>
      <c r="G441" s="629"/>
      <c r="H441" s="629"/>
      <c r="I441" s="629"/>
      <c r="J441" s="629"/>
      <c r="K441" s="629"/>
      <c r="L441" s="629"/>
      <c r="M441" s="629"/>
      <c r="N441" s="629"/>
      <c r="O441" s="629"/>
      <c r="P441" s="629"/>
      <c r="Q441" s="629"/>
      <c r="R441" s="629"/>
      <c r="S441" s="629"/>
      <c r="T441" s="629"/>
      <c r="U441" s="629"/>
    </row>
    <row r="442" spans="1:21" hidden="1" outlineLevel="2">
      <c r="A442" s="280" t="s">
        <v>309</v>
      </c>
      <c r="B442" s="625">
        <f>IF(0=B$411,SUM(B432:B434)+SUM(B437:B440)+MAX(B435:B436),B411)</f>
        <v>49263713.055555552</v>
      </c>
      <c r="C442" s="625">
        <f>IF(0=C$411,SUM(C432:C434)+SUM(C437:C440)+MAX(C435:C436),C411)</f>
        <v>50761740</v>
      </c>
      <c r="D442" s="625">
        <f>IF(0=D$411,SUM(D432:D434)+SUM(D437:D440)+MAX(D435:D436),D411)</f>
        <v>52309390.899999991</v>
      </c>
      <c r="E442" s="625">
        <f>IF(0=E$411,SUM(E432:E434)+SUM(E437:E440)+MAX(E435:E436),E411)</f>
        <v>53908367.556499988</v>
      </c>
      <c r="F442" s="625">
        <f t="shared" ref="F442:U442" si="54">IF(0=F$411,SUM(F432:F434)+SUM(F437:F440)+MAX(F435:F436),F411)</f>
        <v>55560419.78757748</v>
      </c>
      <c r="G442" s="625">
        <f t="shared" si="54"/>
        <v>57267364.111090697</v>
      </c>
      <c r="H442" s="625">
        <f t="shared" si="54"/>
        <v>59031090.543526985</v>
      </c>
      <c r="I442" s="625">
        <f t="shared" si="54"/>
        <v>60853529.461615488</v>
      </c>
      <c r="J442" s="625">
        <f t="shared" si="54"/>
        <v>62736708.528896801</v>
      </c>
      <c r="K442" s="625">
        <f t="shared" si="54"/>
        <v>64682699.689519688</v>
      </c>
      <c r="L442" s="625">
        <f t="shared" si="54"/>
        <v>66693666.231613457</v>
      </c>
      <c r="M442" s="625">
        <f t="shared" si="54"/>
        <v>68771834.922667637</v>
      </c>
      <c r="N442" s="625">
        <f t="shared" si="54"/>
        <v>70919508.219434887</v>
      </c>
      <c r="O442" s="625">
        <f t="shared" si="54"/>
        <v>73139081.554961368</v>
      </c>
      <c r="P442" s="625">
        <f t="shared" si="54"/>
        <v>75433020.705439866</v>
      </c>
      <c r="Q442" s="625">
        <f t="shared" si="54"/>
        <v>77803884.239675462</v>
      </c>
      <c r="R442" s="625">
        <f t="shared" si="54"/>
        <v>80254311.054050088</v>
      </c>
      <c r="S442" s="625">
        <f t="shared" si="54"/>
        <v>82787042.995975003</v>
      </c>
      <c r="T442" s="625">
        <f t="shared" si="54"/>
        <v>85404912.578922614</v>
      </c>
      <c r="U442" s="625">
        <f t="shared" si="54"/>
        <v>88110845.792239383</v>
      </c>
    </row>
    <row r="443" spans="1:21" hidden="1" outlineLevel="2">
      <c r="A443" s="229"/>
      <c r="B443" s="626"/>
      <c r="C443" s="626"/>
      <c r="D443" s="626"/>
      <c r="E443" s="626"/>
      <c r="F443" s="626"/>
      <c r="G443" s="626"/>
      <c r="H443" s="626"/>
      <c r="I443" s="626"/>
      <c r="J443" s="626"/>
      <c r="K443" s="626"/>
      <c r="L443" s="626"/>
      <c r="M443" s="626"/>
      <c r="N443" s="626"/>
      <c r="O443" s="626"/>
      <c r="P443" s="626"/>
      <c r="Q443" s="626"/>
      <c r="R443" s="626"/>
      <c r="S443" s="626"/>
      <c r="T443" s="626"/>
      <c r="U443" s="626"/>
    </row>
    <row r="444" spans="1:21" hidden="1" outlineLevel="2">
      <c r="A444" s="229" t="s">
        <v>310</v>
      </c>
      <c r="B444" s="628"/>
      <c r="C444" s="630">
        <f>C442-B442</f>
        <v>1498026.9444444478</v>
      </c>
      <c r="D444" s="630">
        <f t="shared" ref="D444:U444" si="55">D442-C442</f>
        <v>1547650.8999999911</v>
      </c>
      <c r="E444" s="630">
        <f t="shared" si="55"/>
        <v>1598976.6564999968</v>
      </c>
      <c r="F444" s="630">
        <f>F442-E442</f>
        <v>1652052.2310774922</v>
      </c>
      <c r="G444" s="630">
        <f t="shared" si="55"/>
        <v>1706944.3235132173</v>
      </c>
      <c r="H444" s="630">
        <f t="shared" si="55"/>
        <v>1763726.4324362874</v>
      </c>
      <c r="I444" s="630">
        <f t="shared" si="55"/>
        <v>1822438.9180885032</v>
      </c>
      <c r="J444" s="630">
        <f t="shared" si="55"/>
        <v>1883179.0672813132</v>
      </c>
      <c r="K444" s="630">
        <f t="shared" si="55"/>
        <v>1945991.1606228873</v>
      </c>
      <c r="L444" s="630">
        <f t="shared" si="55"/>
        <v>2010966.5420937687</v>
      </c>
      <c r="M444" s="630">
        <f t="shared" si="55"/>
        <v>2078168.6910541803</v>
      </c>
      <c r="N444" s="630">
        <f t="shared" si="55"/>
        <v>2147673.2967672497</v>
      </c>
      <c r="O444" s="630">
        <f t="shared" si="55"/>
        <v>2219573.3355264813</v>
      </c>
      <c r="P444" s="630">
        <f t="shared" si="55"/>
        <v>2293939.1504784971</v>
      </c>
      <c r="Q444" s="630">
        <f t="shared" si="55"/>
        <v>2370863.5342355967</v>
      </c>
      <c r="R444" s="630">
        <f t="shared" si="55"/>
        <v>2450426.8143746257</v>
      </c>
      <c r="S444" s="630">
        <f t="shared" si="55"/>
        <v>2532731.9419249147</v>
      </c>
      <c r="T444" s="630">
        <f t="shared" si="55"/>
        <v>2617869.5829476118</v>
      </c>
      <c r="U444" s="630">
        <f t="shared" si="55"/>
        <v>2705933.2133167684</v>
      </c>
    </row>
    <row r="445" spans="1:21" hidden="1" outlineLevel="2">
      <c r="A445" s="229"/>
      <c r="B445" s="628"/>
      <c r="C445" s="631">
        <f>C444/B442</f>
        <v>3.0408323927088008E-2</v>
      </c>
      <c r="D445" s="631">
        <f t="shared" ref="D445:T445" si="56">D444/C442</f>
        <v>3.0488531323000178E-2</v>
      </c>
      <c r="E445" s="631">
        <f t="shared" si="56"/>
        <v>3.0567678747335538E-2</v>
      </c>
      <c r="F445" s="631">
        <f>F444/E442</f>
        <v>3.0645562200450949E-2</v>
      </c>
      <c r="G445" s="631">
        <f t="shared" si="56"/>
        <v>3.0722307895428569E-2</v>
      </c>
      <c r="H445" s="631">
        <f t="shared" si="56"/>
        <v>3.0798107435413023E-2</v>
      </c>
      <c r="I445" s="631">
        <f t="shared" si="56"/>
        <v>3.0872526685657539E-2</v>
      </c>
      <c r="J445" s="631">
        <f t="shared" si="56"/>
        <v>3.0946094399818897E-2</v>
      </c>
      <c r="K445" s="631">
        <f t="shared" si="56"/>
        <v>3.1018381522622523E-2</v>
      </c>
      <c r="L445" s="631">
        <f t="shared" si="56"/>
        <v>3.1089712577652331E-2</v>
      </c>
      <c r="M445" s="631">
        <f t="shared" si="56"/>
        <v>3.1159910805279852E-2</v>
      </c>
      <c r="N445" s="631">
        <f t="shared" si="56"/>
        <v>3.122896603213015E-2</v>
      </c>
      <c r="O445" s="631">
        <f t="shared" si="56"/>
        <v>3.1297077366340596E-2</v>
      </c>
      <c r="P445" s="631">
        <f t="shared" si="56"/>
        <v>3.1364068316262421E-2</v>
      </c>
      <c r="Q445" s="631">
        <f t="shared" si="56"/>
        <v>3.1430048963485578E-2</v>
      </c>
      <c r="R445" s="631">
        <f t="shared" si="56"/>
        <v>3.1494916202718971E-2</v>
      </c>
      <c r="S445" s="631">
        <f t="shared" si="56"/>
        <v>3.1558827291148978E-2</v>
      </c>
      <c r="T445" s="631">
        <f t="shared" si="56"/>
        <v>3.1621730746862031E-2</v>
      </c>
      <c r="U445" s="631">
        <f>U444/T442</f>
        <v>3.1683578047295789E-2</v>
      </c>
    </row>
    <row r="446" spans="1:21" hidden="1" outlineLevel="2">
      <c r="A446" s="229" t="s">
        <v>311</v>
      </c>
      <c r="B446" s="628"/>
      <c r="C446" s="630">
        <f t="shared" ref="C446:U446" si="57">C442-$B$442</f>
        <v>1498026.9444444478</v>
      </c>
      <c r="D446" s="630">
        <f t="shared" si="57"/>
        <v>3045677.8444444388</v>
      </c>
      <c r="E446" s="630">
        <f t="shared" si="57"/>
        <v>4644654.5009444356</v>
      </c>
      <c r="F446" s="630">
        <f t="shared" si="57"/>
        <v>6296706.7320219278</v>
      </c>
      <c r="G446" s="630">
        <f t="shared" si="57"/>
        <v>8003651.0555351451</v>
      </c>
      <c r="H446" s="630">
        <f t="shared" si="57"/>
        <v>9767377.4879714325</v>
      </c>
      <c r="I446" s="630">
        <f t="shared" si="57"/>
        <v>11589816.406059936</v>
      </c>
      <c r="J446" s="630">
        <f t="shared" si="57"/>
        <v>13472995.473341249</v>
      </c>
      <c r="K446" s="630">
        <f t="shared" si="57"/>
        <v>15418986.633964136</v>
      </c>
      <c r="L446" s="630">
        <f t="shared" si="57"/>
        <v>17429953.176057905</v>
      </c>
      <c r="M446" s="630">
        <f t="shared" si="57"/>
        <v>19508121.867112085</v>
      </c>
      <c r="N446" s="630">
        <f t="shared" si="57"/>
        <v>21655795.163879335</v>
      </c>
      <c r="O446" s="630">
        <f t="shared" si="57"/>
        <v>23875368.499405816</v>
      </c>
      <c r="P446" s="630">
        <f t="shared" si="57"/>
        <v>26169307.649884313</v>
      </c>
      <c r="Q446" s="630">
        <f t="shared" si="57"/>
        <v>28540171.18411991</v>
      </c>
      <c r="R446" s="630">
        <f t="shared" si="57"/>
        <v>30990597.998494536</v>
      </c>
      <c r="S446" s="630">
        <f t="shared" si="57"/>
        <v>33523329.94041945</v>
      </c>
      <c r="T446" s="630">
        <f t="shared" si="57"/>
        <v>36141199.523367062</v>
      </c>
      <c r="U446" s="630">
        <f t="shared" si="57"/>
        <v>38847132.736683831</v>
      </c>
    </row>
    <row r="447" spans="1:21" hidden="1" outlineLevel="2">
      <c r="A447" s="229"/>
      <c r="B447" s="626"/>
      <c r="C447" s="626"/>
      <c r="D447" s="626"/>
      <c r="E447" s="626"/>
      <c r="F447" s="626"/>
      <c r="G447" s="626"/>
      <c r="H447" s="626"/>
      <c r="I447" s="626"/>
      <c r="J447" s="626"/>
      <c r="K447" s="626"/>
      <c r="L447" s="626"/>
      <c r="M447" s="626"/>
      <c r="N447" s="626"/>
      <c r="O447" s="626"/>
      <c r="P447" s="626"/>
      <c r="Q447" s="626"/>
      <c r="R447" s="626"/>
      <c r="S447" s="626"/>
      <c r="T447" s="626"/>
      <c r="U447" s="626"/>
    </row>
    <row r="448" spans="1:21" ht="15.95" hidden="1" outlineLevel="2" thickBot="1">
      <c r="A448" s="280" t="s">
        <v>312</v>
      </c>
      <c r="B448" s="632">
        <f t="shared" ref="B448:U448" si="58">B429-B442</f>
        <v>68730548.055555567</v>
      </c>
      <c r="C448" s="632">
        <f t="shared" si="58"/>
        <v>71362260</v>
      </c>
      <c r="D448" s="632">
        <f t="shared" si="58"/>
        <v>74088909.100000009</v>
      </c>
      <c r="E448" s="632">
        <f t="shared" si="58"/>
        <v>76913932.443500012</v>
      </c>
      <c r="F448" s="632">
        <f t="shared" si="58"/>
        <v>79840680.21242252</v>
      </c>
      <c r="G448" s="632">
        <f t="shared" si="58"/>
        <v>82872735.88890931</v>
      </c>
      <c r="H448" s="632">
        <f t="shared" si="58"/>
        <v>86014009.456473023</v>
      </c>
      <c r="I448" s="632">
        <f t="shared" si="58"/>
        <v>89268070.538384512</v>
      </c>
      <c r="J448" s="632">
        <f t="shared" si="58"/>
        <v>92639191.471103191</v>
      </c>
      <c r="K448" s="632">
        <f t="shared" si="58"/>
        <v>96131300.310480312</v>
      </c>
      <c r="L448" s="632">
        <f t="shared" si="58"/>
        <v>99748833.768386543</v>
      </c>
      <c r="M448" s="632">
        <f t="shared" si="58"/>
        <v>103496165.07733236</v>
      </c>
      <c r="N448" s="632">
        <f t="shared" si="58"/>
        <v>107377791.78056511</v>
      </c>
      <c r="O448" s="632">
        <f t="shared" si="58"/>
        <v>111398618.44503863</v>
      </c>
      <c r="P448" s="632">
        <f t="shared" si="58"/>
        <v>115563479.29456013</v>
      </c>
      <c r="Q448" s="632">
        <f t="shared" si="58"/>
        <v>119877515.76032454</v>
      </c>
      <c r="R448" s="632">
        <f t="shared" si="58"/>
        <v>124345888.94594991</v>
      </c>
      <c r="S448" s="632">
        <f t="shared" si="58"/>
        <v>128974157.004025</v>
      </c>
      <c r="T448" s="632">
        <f t="shared" si="58"/>
        <v>133767987.42107739</v>
      </c>
      <c r="U448" s="632">
        <f t="shared" si="58"/>
        <v>138733154.20776063</v>
      </c>
    </row>
    <row r="449" spans="1:22" ht="15.95" hidden="1" outlineLevel="2" thickTop="1">
      <c r="A449" s="229"/>
      <c r="B449" s="633"/>
      <c r="C449" s="633"/>
      <c r="D449" s="633"/>
      <c r="E449" s="633"/>
      <c r="F449" s="633"/>
      <c r="G449" s="633"/>
      <c r="H449" s="628"/>
      <c r="I449" s="628"/>
      <c r="J449" s="628"/>
      <c r="K449" s="628"/>
      <c r="L449" s="628"/>
      <c r="M449" s="628"/>
      <c r="N449" s="628"/>
      <c r="O449" s="628"/>
      <c r="P449" s="628"/>
      <c r="Q449" s="628"/>
      <c r="R449" s="628"/>
      <c r="S449" s="628"/>
      <c r="T449" s="628"/>
      <c r="U449" s="628"/>
      <c r="V449" s="106"/>
    </row>
    <row r="450" spans="1:22" hidden="1" outlineLevel="2">
      <c r="A450" s="229" t="s">
        <v>310</v>
      </c>
      <c r="B450" s="628"/>
      <c r="C450" s="630">
        <f>C448-B448</f>
        <v>2631711.9444444329</v>
      </c>
      <c r="D450" s="630">
        <f t="shared" ref="D450:U450" si="59">D448-C448</f>
        <v>2726649.1000000089</v>
      </c>
      <c r="E450" s="630">
        <f t="shared" si="59"/>
        <v>2825023.3435000032</v>
      </c>
      <c r="F450" s="630">
        <f>F448-E448</f>
        <v>2926747.7689225078</v>
      </c>
      <c r="G450" s="630">
        <f t="shared" si="59"/>
        <v>3032055.6764867902</v>
      </c>
      <c r="H450" s="630">
        <f t="shared" si="59"/>
        <v>3141273.5675637126</v>
      </c>
      <c r="I450" s="630">
        <f t="shared" si="59"/>
        <v>3254061.0819114894</v>
      </c>
      <c r="J450" s="630">
        <f t="shared" si="59"/>
        <v>3371120.9327186793</v>
      </c>
      <c r="K450" s="630">
        <f t="shared" si="59"/>
        <v>3492108.8393771201</v>
      </c>
      <c r="L450" s="630">
        <f t="shared" si="59"/>
        <v>3617533.4579062313</v>
      </c>
      <c r="M450" s="630">
        <f t="shared" si="59"/>
        <v>3747331.3089458197</v>
      </c>
      <c r="N450" s="630">
        <f t="shared" si="59"/>
        <v>3881626.7032327503</v>
      </c>
      <c r="O450" s="630">
        <f t="shared" si="59"/>
        <v>4020826.6644735187</v>
      </c>
      <c r="P450" s="630">
        <f t="shared" si="59"/>
        <v>4164860.8495215029</v>
      </c>
      <c r="Q450" s="630">
        <f t="shared" si="59"/>
        <v>4314036.4657644033</v>
      </c>
      <c r="R450" s="630">
        <f t="shared" si="59"/>
        <v>4468373.1856253743</v>
      </c>
      <c r="S450" s="630">
        <f t="shared" si="59"/>
        <v>4628268.0580750853</v>
      </c>
      <c r="T450" s="630">
        <f t="shared" si="59"/>
        <v>4793830.4170523882</v>
      </c>
      <c r="U450" s="630">
        <f t="shared" si="59"/>
        <v>4965166.7866832465</v>
      </c>
      <c r="V450" s="106"/>
    </row>
    <row r="451" spans="1:22" hidden="1" outlineLevel="2">
      <c r="A451" s="229"/>
      <c r="B451" s="628"/>
      <c r="C451" s="631">
        <f t="shared" ref="C451:U451" si="60">C450/B448</f>
        <v>3.8290280215970265E-2</v>
      </c>
      <c r="D451" s="631">
        <f t="shared" si="60"/>
        <v>3.8208558697552582E-2</v>
      </c>
      <c r="E451" s="631">
        <f t="shared" si="60"/>
        <v>3.8130178697691246E-2</v>
      </c>
      <c r="F451" s="631">
        <f>F450/E448</f>
        <v>3.8052244579646982E-2</v>
      </c>
      <c r="G451" s="631">
        <f t="shared" si="60"/>
        <v>3.7976325707894311E-2</v>
      </c>
      <c r="H451" s="631">
        <f t="shared" si="60"/>
        <v>3.7904788998091986E-2</v>
      </c>
      <c r="I451" s="631">
        <f t="shared" si="60"/>
        <v>3.7831756739094828E-2</v>
      </c>
      <c r="J451" s="631">
        <f t="shared" si="60"/>
        <v>3.7764016992717746E-2</v>
      </c>
      <c r="K451" s="631">
        <f t="shared" si="60"/>
        <v>3.7695804377420636E-2</v>
      </c>
      <c r="L451" s="631">
        <f t="shared" si="60"/>
        <v>3.7631171597830193E-2</v>
      </c>
      <c r="M451" s="631">
        <f t="shared" si="60"/>
        <v>3.7567670391485453E-2</v>
      </c>
      <c r="N451" s="631">
        <f t="shared" si="60"/>
        <v>3.750502929584297E-2</v>
      </c>
      <c r="O451" s="631">
        <f t="shared" si="60"/>
        <v>3.7445607679196753E-2</v>
      </c>
      <c r="P451" s="631">
        <f t="shared" si="60"/>
        <v>3.738700629915212E-2</v>
      </c>
      <c r="Q451" s="631">
        <f t="shared" si="60"/>
        <v>3.7330448097433459E-2</v>
      </c>
      <c r="R451" s="631">
        <f t="shared" si="60"/>
        <v>3.7274489359281973E-2</v>
      </c>
      <c r="S451" s="631">
        <f t="shared" si="60"/>
        <v>3.722091737256291E-2</v>
      </c>
      <c r="T451" s="631">
        <f t="shared" si="60"/>
        <v>3.716892227411716E-2</v>
      </c>
      <c r="U451" s="631">
        <f t="shared" si="60"/>
        <v>3.7117750535139632E-2</v>
      </c>
      <c r="V451" s="106"/>
    </row>
    <row r="452" spans="1:22" hidden="1" outlineLevel="2">
      <c r="A452" s="229" t="s">
        <v>311</v>
      </c>
      <c r="B452" s="628"/>
      <c r="C452" s="630">
        <f t="shared" ref="C452:U452" si="61">C448-$B$448</f>
        <v>2631711.9444444329</v>
      </c>
      <c r="D452" s="630">
        <f t="shared" si="61"/>
        <v>5358361.0444444418</v>
      </c>
      <c r="E452" s="630">
        <f t="shared" si="61"/>
        <v>8183384.387944445</v>
      </c>
      <c r="F452" s="630">
        <f t="shared" si="61"/>
        <v>11110132.156866953</v>
      </c>
      <c r="G452" s="630">
        <f t="shared" si="61"/>
        <v>14142187.833353743</v>
      </c>
      <c r="H452" s="630">
        <f t="shared" si="61"/>
        <v>17283461.400917456</v>
      </c>
      <c r="I452" s="630">
        <f t="shared" si="61"/>
        <v>20537522.482828945</v>
      </c>
      <c r="J452" s="630">
        <f t="shared" si="61"/>
        <v>23908643.415547624</v>
      </c>
      <c r="K452" s="630">
        <f t="shared" si="61"/>
        <v>27400752.254924744</v>
      </c>
      <c r="L452" s="630">
        <f t="shared" si="61"/>
        <v>31018285.712830976</v>
      </c>
      <c r="M452" s="630">
        <f t="shared" si="61"/>
        <v>34765617.021776795</v>
      </c>
      <c r="N452" s="630">
        <f t="shared" si="61"/>
        <v>38647243.725009546</v>
      </c>
      <c r="O452" s="630">
        <f t="shared" si="61"/>
        <v>42668070.389483064</v>
      </c>
      <c r="P452" s="630">
        <f t="shared" si="61"/>
        <v>46832931.239004567</v>
      </c>
      <c r="Q452" s="630">
        <f t="shared" si="61"/>
        <v>51146967.704768971</v>
      </c>
      <c r="R452" s="630">
        <f t="shared" si="61"/>
        <v>55615340.890394345</v>
      </c>
      <c r="S452" s="630">
        <f t="shared" si="61"/>
        <v>60243608.94846943</v>
      </c>
      <c r="T452" s="630">
        <f t="shared" si="61"/>
        <v>65037439.365521818</v>
      </c>
      <c r="U452" s="630">
        <f t="shared" si="61"/>
        <v>70002606.152205065</v>
      </c>
      <c r="V452" s="106"/>
    </row>
    <row r="453" spans="1:22" hidden="1" outlineLevel="1" collapsed="1">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row>
    <row r="454" spans="1:22" hidden="1" outlineLevel="1">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row>
    <row r="455" spans="1:22" collapsed="1">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row>
    <row r="458" spans="1:22">
      <c r="A458" s="112"/>
      <c r="B458" s="106"/>
      <c r="C458" s="182"/>
      <c r="D458" s="176"/>
      <c r="E458" s="176"/>
      <c r="F458" s="176"/>
      <c r="G458" s="176"/>
      <c r="H458" s="112"/>
      <c r="I458" s="112"/>
      <c r="J458" s="112"/>
      <c r="K458" s="112"/>
      <c r="L458" s="106"/>
      <c r="M458" s="106"/>
      <c r="N458" s="106"/>
      <c r="O458" s="106"/>
      <c r="P458" s="106"/>
      <c r="Q458" s="106"/>
      <c r="R458" s="106"/>
      <c r="S458" s="106"/>
      <c r="T458" s="106"/>
      <c r="U458" s="106"/>
      <c r="V458" s="106"/>
    </row>
  </sheetData>
  <mergeCells count="95">
    <mergeCell ref="L381:P381"/>
    <mergeCell ref="A340:F341"/>
    <mergeCell ref="A328:B328"/>
    <mergeCell ref="A338:F338"/>
    <mergeCell ref="A381:F381"/>
    <mergeCell ref="G381:K381"/>
    <mergeCell ref="B163:C163"/>
    <mergeCell ref="B193:B194"/>
    <mergeCell ref="A312:A313"/>
    <mergeCell ref="B312:B313"/>
    <mergeCell ref="A314:E314"/>
    <mergeCell ref="B284:C284"/>
    <mergeCell ref="A281:B281"/>
    <mergeCell ref="A289:A290"/>
    <mergeCell ref="B289:B290"/>
    <mergeCell ref="A291:E291"/>
    <mergeCell ref="A305:B305"/>
    <mergeCell ref="B170:B171"/>
    <mergeCell ref="A170:A171"/>
    <mergeCell ref="A186:B186"/>
    <mergeCell ref="A193:A194"/>
    <mergeCell ref="A172:E172"/>
    <mergeCell ref="A267:E267"/>
    <mergeCell ref="A241:A242"/>
    <mergeCell ref="B241:B242"/>
    <mergeCell ref="A243:E243"/>
    <mergeCell ref="A257:B257"/>
    <mergeCell ref="B260:C260"/>
    <mergeCell ref="A265:A266"/>
    <mergeCell ref="B265:B266"/>
    <mergeCell ref="B212:C212"/>
    <mergeCell ref="G1:L1"/>
    <mergeCell ref="D36:F36"/>
    <mergeCell ref="D37:F37"/>
    <mergeCell ref="D38:F38"/>
    <mergeCell ref="D39:F39"/>
    <mergeCell ref="D33:F33"/>
    <mergeCell ref="D34:F34"/>
    <mergeCell ref="D35:F35"/>
    <mergeCell ref="A1:F1"/>
    <mergeCell ref="B5:E5"/>
    <mergeCell ref="B6:E6"/>
    <mergeCell ref="B7:E7"/>
    <mergeCell ref="B8:E8"/>
    <mergeCell ref="B9:E9"/>
    <mergeCell ref="B10:E10"/>
    <mergeCell ref="B11:E11"/>
    <mergeCell ref="B12:E12"/>
    <mergeCell ref="B13:E13"/>
    <mergeCell ref="G5:I5"/>
    <mergeCell ref="G6:I6"/>
    <mergeCell ref="G7:I7"/>
    <mergeCell ref="B236:C236"/>
    <mergeCell ref="A217:A218"/>
    <mergeCell ref="B217:B218"/>
    <mergeCell ref="A219:E219"/>
    <mergeCell ref="A233:B233"/>
    <mergeCell ref="A124:B124"/>
    <mergeCell ref="C124:E124"/>
    <mergeCell ref="B188:C188"/>
    <mergeCell ref="C127:E127"/>
    <mergeCell ref="C126:E126"/>
    <mergeCell ref="A127:B127"/>
    <mergeCell ref="C132:E132"/>
    <mergeCell ref="C133:E133"/>
    <mergeCell ref="E163:F163"/>
    <mergeCell ref="A144:A145"/>
    <mergeCell ref="A160:B160"/>
    <mergeCell ref="A125:B125"/>
    <mergeCell ref="C125:E125"/>
    <mergeCell ref="A128:B128"/>
    <mergeCell ref="C128:E128"/>
    <mergeCell ref="C131:E131"/>
    <mergeCell ref="A209:B209"/>
    <mergeCell ref="A195:E195"/>
    <mergeCell ref="G8:I8"/>
    <mergeCell ref="G9:I9"/>
    <mergeCell ref="B42:G42"/>
    <mergeCell ref="D40:F40"/>
    <mergeCell ref="D41:F41"/>
    <mergeCell ref="A146:I146"/>
    <mergeCell ref="A126:B126"/>
    <mergeCell ref="A130:B130"/>
    <mergeCell ref="A134:B134"/>
    <mergeCell ref="C130:E130"/>
    <mergeCell ref="C134:E134"/>
    <mergeCell ref="A131:B131"/>
    <mergeCell ref="A132:B132"/>
    <mergeCell ref="A133:B133"/>
    <mergeCell ref="I125:N127"/>
    <mergeCell ref="I128:N136"/>
    <mergeCell ref="B144:B145"/>
    <mergeCell ref="A129:B129"/>
    <mergeCell ref="C129:E129"/>
    <mergeCell ref="A139:G142"/>
  </mergeCells>
  <phoneticPr fontId="69" type="noConversion"/>
  <conditionalFormatting sqref="G170:G173 G186:G187 I148:I160 G335:G338 G340:G341 G345:G379 G193:G288">
    <cfRule type="cellIs" dxfId="7" priority="4" operator="greaterThan">
      <formula>1</formula>
    </cfRule>
  </conditionalFormatting>
  <conditionalFormatting sqref="G384:G385">
    <cfRule type="cellIs" dxfId="6" priority="2" operator="greaterThan">
      <formula>1</formula>
    </cfRule>
  </conditionalFormatting>
  <conditionalFormatting sqref="D30">
    <cfRule type="notContainsBlanks" dxfId="5" priority="1">
      <formula>LEN(TRIM(D30))&gt;0</formula>
    </cfRule>
  </conditionalFormatting>
  <dataValidations count="3">
    <dataValidation type="list" allowBlank="1" showErrorMessage="1" prompt="Choose From Menu" sqref="B48" xr:uid="{00000000-0002-0000-0100-000000000000}">
      <formula1>"Low, Medium, High"</formula1>
    </dataValidation>
    <dataValidation type="list" allowBlank="1" showInputMessage="1" showErrorMessage="1" sqref="B51" xr:uid="{00000000-0002-0000-0100-000002000000}">
      <formula1>"In-House, 3rd Party"</formula1>
    </dataValidation>
    <dataValidation type="list" allowBlank="1" showInputMessage="1" showErrorMessage="1" sqref="C358:C359 C364:C365 C347:C354" xr:uid="{8B10D663-1C12-4B49-8431-68A682F576BA}">
      <formula1>EnergyUnits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'Drop Down Lists'!$AN$2:$AN$64</xm:f>
          </x14:formula1>
          <xm:sqref>B10:E10</xm:sqref>
        </x14:dataValidation>
        <x14:dataValidation type="list" allowBlank="1" showInputMessage="1" showErrorMessage="1" xr:uid="{00000000-0002-0000-0100-000005000000}">
          <x14:formula1>
            <xm:f>'Drop Down Lists'!$B$2:$B$15</xm:f>
          </x14:formula1>
          <xm:sqref>B23:B29</xm:sqref>
        </x14:dataValidation>
        <x14:dataValidation type="list" allowBlank="1" showInputMessage="1" showErrorMessage="1" xr:uid="{00000000-0002-0000-0100-000009000000}">
          <x14:formula1>
            <xm:f>'Drop Down Lists'!$L$2:$L$7</xm:f>
          </x14:formula1>
          <xm:sqref>D34:F41</xm:sqref>
        </x14:dataValidation>
        <x14:dataValidation type="list" allowBlank="1" showInputMessage="1" showErrorMessage="1" xr:uid="{00000000-0002-0000-0100-000007000000}">
          <x14:formula1>
            <xm:f>'Drop Down Lists'!$K$2:$K$11</xm:f>
          </x14:formula1>
          <xm:sqref>B34:B41</xm:sqref>
        </x14:dataValidation>
        <x14:dataValidation type="list" allowBlank="1" showInputMessage="1" showErrorMessage="1" xr:uid="{00000000-0002-0000-0100-000008000000}">
          <x14:formula1>
            <xm:f>'Drop Down Lists'!$C$2:$C$14</xm:f>
          </x14:formula1>
          <xm:sqref>C127:E134</xm:sqref>
        </x14:dataValidation>
        <x14:dataValidation type="list" allowBlank="1" showInputMessage="1" showErrorMessage="1" xr:uid="{7EE58385-8BCB-4D2F-8F53-A39F69A83E22}">
          <x14:formula1>
            <xm:f>'Drop Down Lists'!$B$21:$B$22</xm:f>
          </x14:formula1>
          <xm:sqref>B30</xm:sqref>
        </x14:dataValidation>
        <x14:dataValidation type="list" allowBlank="1" showErrorMessage="1" prompt="Choose From Menu" xr:uid="{096EFB12-B6F8-403E-A5C9-B86CD7E2A9F1}">
          <x14:formula1>
            <xm:f>'Drop Down Lists'!AY3:AY5</xm:f>
          </x14:formula1>
          <xm:sqref>B49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92D050"/>
    <pageSetUpPr fitToPage="1"/>
  </sheetPr>
  <dimension ref="A1:EB63"/>
  <sheetViews>
    <sheetView showGridLines="0" zoomScale="58" zoomScaleNormal="55" zoomScaleSheetLayoutView="40" workbookViewId="0">
      <selection activeCell="B8" sqref="B8:AF8"/>
    </sheetView>
  </sheetViews>
  <sheetFormatPr defaultColWidth="8.7109375" defaultRowHeight="15" outlineLevelCol="2"/>
  <cols>
    <col min="1" max="1" width="8.7109375" style="102"/>
    <col min="2" max="2" width="14.28515625" customWidth="1"/>
    <col min="3" max="3" width="18.140625" style="102" customWidth="1"/>
    <col min="4" max="4" width="11.42578125" style="102" customWidth="1"/>
    <col min="5" max="5" width="23" customWidth="1"/>
    <col min="6" max="6" width="14.28515625" customWidth="1"/>
    <col min="7" max="7" width="15.28515625" customWidth="1"/>
    <col min="8" max="8" width="13" customWidth="1"/>
    <col min="9" max="9" width="13" style="106" customWidth="1"/>
    <col min="10" max="10" width="13" style="102" customWidth="1"/>
    <col min="11" max="11" width="14.28515625" style="106" customWidth="1"/>
    <col min="12" max="12" width="13" style="106" customWidth="1"/>
    <col min="13" max="13" width="17.28515625" style="106" customWidth="1"/>
    <col min="14" max="14" width="15.42578125" style="106" customWidth="1"/>
    <col min="15" max="16" width="13" style="110" hidden="1" customWidth="1" outlineLevel="1"/>
    <col min="17" max="17" width="14.140625" style="110" hidden="1" customWidth="1" outlineLevel="1"/>
    <col min="18" max="18" width="15.7109375" style="110" hidden="1" customWidth="1" outlineLevel="1"/>
    <col min="19" max="19" width="14.7109375" style="110" hidden="1" customWidth="1" outlineLevel="2"/>
    <col min="20" max="20" width="14" style="110" hidden="1" customWidth="1" outlineLevel="2"/>
    <col min="21" max="21" width="14.42578125" style="110" hidden="1" customWidth="1" outlineLevel="2"/>
    <col min="22" max="22" width="15.140625" style="110" hidden="1" customWidth="1" outlineLevel="2"/>
    <col min="23" max="23" width="15" style="110" hidden="1" customWidth="1" outlineLevel="1" collapsed="1"/>
    <col min="24" max="24" width="16.28515625" style="110" customWidth="1" collapsed="1"/>
    <col min="25" max="25" width="16.28515625" customWidth="1"/>
    <col min="26" max="26" width="15.28515625" customWidth="1" outlineLevel="1"/>
    <col min="27" max="27" width="15.28515625" style="102" customWidth="1"/>
    <col min="28" max="30" width="15.28515625" style="106" customWidth="1"/>
    <col min="31" max="31" width="15.28515625" style="106" hidden="1" customWidth="1" outlineLevel="1"/>
    <col min="32" max="32" width="15.28515625" style="110" hidden="1" customWidth="1" outlineLevel="1"/>
    <col min="33" max="33" width="9.42578125" customWidth="1" collapsed="1"/>
    <col min="34" max="34" width="9.42578125" customWidth="1"/>
    <col min="35" max="35" width="20.28515625" bestFit="1" customWidth="1"/>
    <col min="36" max="36" width="41" bestFit="1" customWidth="1"/>
    <col min="37" max="37" width="31.42578125" bestFit="1" customWidth="1"/>
    <col min="38" max="38" width="14" customWidth="1"/>
    <col min="39" max="41" width="9.42578125" customWidth="1"/>
    <col min="42" max="45" width="10.28515625" style="106" customWidth="1"/>
    <col min="46" max="46" width="11" style="106" customWidth="1"/>
    <col min="47" max="47" width="10.28515625" style="106" customWidth="1"/>
    <col min="48" max="48" width="11" style="106" customWidth="1"/>
    <col min="49" max="49" width="10.28515625" style="106" customWidth="1"/>
    <col min="50" max="55" width="9.42578125" customWidth="1"/>
    <col min="56" max="56" width="10.42578125" customWidth="1"/>
    <col min="57" max="65" width="9.42578125" customWidth="1"/>
    <col min="66" max="66" width="10.7109375" customWidth="1"/>
    <col min="67" max="73" width="9.42578125" style="106" customWidth="1"/>
    <col min="74" max="74" width="9.42578125" customWidth="1"/>
    <col min="75" max="75" width="11" customWidth="1"/>
    <col min="76" max="76" width="7.28515625" customWidth="1"/>
    <col min="77" max="77" width="7.42578125" customWidth="1"/>
    <col min="78" max="78" width="4.7109375" customWidth="1"/>
    <col min="79" max="79" width="9.7109375" customWidth="1"/>
    <col min="80" max="80" width="20.28515625" customWidth="1"/>
    <col min="81" max="81" width="12.42578125" customWidth="1"/>
    <col min="82" max="82" width="20.7109375" customWidth="1"/>
    <col min="83" max="83" width="18.7109375" customWidth="1"/>
    <col min="84" max="84" width="17.42578125" customWidth="1"/>
    <col min="85" max="85" width="10.28515625" customWidth="1"/>
    <col min="86" max="86" width="7.28515625" customWidth="1"/>
    <col min="87" max="87" width="7.42578125" customWidth="1"/>
    <col min="88" max="88" width="4.7109375" customWidth="1"/>
    <col min="89" max="89" width="23.28515625" customWidth="1"/>
    <col min="90" max="90" width="12.42578125" customWidth="1"/>
    <col min="91" max="91" width="20.7109375" customWidth="1"/>
    <col min="92" max="92" width="18.7109375" customWidth="1"/>
    <col min="93" max="93" width="17.42578125" customWidth="1"/>
    <col min="94" max="94" width="10.28515625" customWidth="1"/>
    <col min="95" max="95" width="11" customWidth="1"/>
    <col min="96" max="96" width="7.28515625" customWidth="1"/>
    <col min="97" max="97" width="7.42578125" customWidth="1"/>
    <col min="98" max="98" width="4.7109375" customWidth="1"/>
    <col min="99" max="99" width="7.7109375" customWidth="1"/>
    <col min="100" max="100" width="8.28515625" customWidth="1"/>
    <col min="101" max="101" width="7" customWidth="1"/>
    <col min="102" max="102" width="10.28515625" customWidth="1"/>
    <col min="103" max="103" width="10" customWidth="1"/>
    <col min="104" max="104" width="13.42578125" customWidth="1"/>
    <col min="105" max="105" width="9.42578125" customWidth="1"/>
    <col min="106" max="106" width="12.42578125" customWidth="1"/>
    <col min="107" max="107" width="11.28515625" customWidth="1"/>
    <col min="108" max="108" width="12.42578125" customWidth="1"/>
    <col min="109" max="109" width="11.7109375" customWidth="1"/>
    <col min="110" max="110" width="7.7109375" customWidth="1"/>
    <col min="111" max="111" width="2" customWidth="1"/>
    <col min="112" max="112" width="8.28515625" customWidth="1"/>
    <col min="113" max="113" width="8.7109375" customWidth="1"/>
    <col min="114" max="114" width="10.42578125" customWidth="1"/>
    <col min="115" max="115" width="2.28515625" customWidth="1"/>
    <col min="116" max="116" width="8.42578125" customWidth="1"/>
    <col min="117" max="118" width="11.42578125" customWidth="1"/>
    <col min="119" max="119" width="1.7109375" customWidth="1"/>
    <col min="120" max="120" width="7.28515625" customWidth="1"/>
    <col min="121" max="121" width="9.42578125" customWidth="1"/>
    <col min="122" max="123" width="8.28515625" customWidth="1"/>
    <col min="124" max="126" width="8.42578125" customWidth="1"/>
    <col min="127" max="127" width="9.28515625" customWidth="1"/>
    <col min="128" max="128" width="5" customWidth="1"/>
    <col min="134" max="134" width="11.28515625" customWidth="1"/>
  </cols>
  <sheetData>
    <row r="1" spans="1:74" s="106" customFormat="1" ht="15" customHeight="1" thickBot="1">
      <c r="B1" s="863" t="s">
        <v>316</v>
      </c>
      <c r="C1" s="864"/>
      <c r="D1" s="864"/>
      <c r="E1" s="864"/>
      <c r="F1" s="864"/>
      <c r="G1" s="864"/>
      <c r="H1" s="864"/>
      <c r="I1" s="864"/>
      <c r="J1" s="864"/>
      <c r="K1" s="864"/>
      <c r="L1" s="864"/>
      <c r="M1" s="864"/>
      <c r="N1" s="865"/>
      <c r="O1" s="110"/>
      <c r="P1" s="110"/>
      <c r="Q1" s="110"/>
      <c r="R1" s="110"/>
      <c r="S1" s="110"/>
      <c r="T1" s="110"/>
      <c r="U1" s="110"/>
      <c r="V1" s="110"/>
      <c r="W1" s="110"/>
      <c r="X1" s="110"/>
      <c r="AF1" s="110"/>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row>
    <row r="2" spans="1:74" s="106" customFormat="1" ht="18" customHeight="1">
      <c r="B2" s="866"/>
      <c r="C2" s="867"/>
      <c r="D2" s="867"/>
      <c r="E2" s="867"/>
      <c r="F2" s="867"/>
      <c r="G2" s="867"/>
      <c r="H2" s="867"/>
      <c r="I2" s="867"/>
      <c r="J2" s="867"/>
      <c r="K2" s="867"/>
      <c r="L2" s="867"/>
      <c r="M2" s="867"/>
      <c r="N2" s="868"/>
      <c r="Z2" s="268"/>
      <c r="AA2" s="268"/>
      <c r="AB2" s="841" t="s">
        <v>77</v>
      </c>
      <c r="AC2" s="842"/>
      <c r="AD2" s="843"/>
      <c r="AE2" s="268"/>
      <c r="AF2" s="268"/>
      <c r="AG2" s="114"/>
      <c r="AH2" s="45"/>
      <c r="AI2" s="426"/>
      <c r="AJ2" s="427"/>
      <c r="AK2" s="428"/>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2"/>
      <c r="BL2" s="652"/>
      <c r="BM2" s="652"/>
      <c r="BN2" s="653"/>
      <c r="BO2" s="653"/>
      <c r="BP2" s="653"/>
      <c r="BQ2" s="653"/>
      <c r="BR2" s="653"/>
      <c r="BS2" s="653"/>
      <c r="BT2" s="653"/>
      <c r="BU2" s="653"/>
      <c r="BV2" s="653"/>
    </row>
    <row r="3" spans="1:74" s="106" customFormat="1" ht="20.45" customHeight="1">
      <c r="B3" s="866"/>
      <c r="C3" s="867"/>
      <c r="D3" s="867"/>
      <c r="E3" s="867"/>
      <c r="F3" s="867"/>
      <c r="G3" s="867"/>
      <c r="H3" s="867"/>
      <c r="I3" s="867"/>
      <c r="J3" s="867"/>
      <c r="K3" s="867"/>
      <c r="L3" s="867"/>
      <c r="M3" s="867"/>
      <c r="N3" s="868"/>
      <c r="Z3" s="268"/>
      <c r="AA3" s="268"/>
      <c r="AB3" s="1017" t="s">
        <v>80</v>
      </c>
      <c r="AC3" s="1018"/>
      <c r="AD3" s="1019"/>
      <c r="AE3" s="268"/>
      <c r="AF3" s="268"/>
      <c r="AG3" s="114"/>
      <c r="AH3" s="45"/>
      <c r="AI3" s="1020" t="s">
        <v>317</v>
      </c>
      <c r="AJ3" s="1021"/>
      <c r="AK3" s="1022"/>
      <c r="AL3" s="652"/>
      <c r="AM3" s="652"/>
      <c r="AN3" s="652"/>
      <c r="AO3" s="652"/>
      <c r="AP3" s="652"/>
      <c r="AQ3" s="652"/>
      <c r="AR3" s="652"/>
      <c r="AS3" s="652"/>
      <c r="AT3" s="652"/>
      <c r="AU3" s="652"/>
      <c r="AV3" s="652"/>
      <c r="AW3" s="652"/>
      <c r="AX3" s="652"/>
      <c r="AY3" s="652"/>
      <c r="AZ3" s="652"/>
      <c r="BA3" s="652"/>
      <c r="BB3" s="652"/>
      <c r="BC3" s="652"/>
      <c r="BD3" s="652"/>
      <c r="BE3" s="652"/>
      <c r="BF3" s="652"/>
      <c r="BG3" s="652"/>
      <c r="BH3" s="652"/>
      <c r="BI3" s="652"/>
      <c r="BJ3" s="652"/>
      <c r="BK3" s="652"/>
      <c r="BL3" s="652"/>
      <c r="BM3" s="652"/>
      <c r="BN3" s="653"/>
      <c r="BO3" s="653"/>
      <c r="BP3" s="653"/>
      <c r="BQ3" s="653"/>
      <c r="BR3" s="653"/>
      <c r="BS3" s="653"/>
      <c r="BT3" s="653"/>
      <c r="BU3" s="653"/>
      <c r="BV3" s="653"/>
    </row>
    <row r="4" spans="1:74" s="106" customFormat="1" ht="20.45" customHeight="1">
      <c r="B4" s="866"/>
      <c r="C4" s="867"/>
      <c r="D4" s="867"/>
      <c r="E4" s="867"/>
      <c r="F4" s="867"/>
      <c r="G4" s="867"/>
      <c r="H4" s="867"/>
      <c r="I4" s="867"/>
      <c r="J4" s="867"/>
      <c r="K4" s="867"/>
      <c r="L4" s="867"/>
      <c r="M4" s="867"/>
      <c r="N4" s="868"/>
      <c r="Z4" s="268"/>
      <c r="AA4" s="268"/>
      <c r="AB4" s="1023" t="s">
        <v>69</v>
      </c>
      <c r="AC4" s="1024"/>
      <c r="AD4" s="1025"/>
      <c r="AE4" s="268"/>
      <c r="AF4" s="268"/>
      <c r="AG4" s="114"/>
      <c r="AH4" s="45"/>
      <c r="AI4" s="568"/>
      <c r="AJ4" s="543"/>
      <c r="AK4" s="569"/>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3"/>
      <c r="BO4" s="653"/>
      <c r="BP4" s="653"/>
      <c r="BQ4" s="653"/>
      <c r="BR4" s="653"/>
      <c r="BS4" s="653"/>
      <c r="BT4" s="653"/>
      <c r="BU4" s="653"/>
      <c r="BV4" s="653"/>
    </row>
    <row r="5" spans="1:74" s="106" customFormat="1" ht="18" customHeight="1">
      <c r="B5" s="866"/>
      <c r="C5" s="867"/>
      <c r="D5" s="867"/>
      <c r="E5" s="867"/>
      <c r="F5" s="867"/>
      <c r="G5" s="867"/>
      <c r="H5" s="867"/>
      <c r="I5" s="867"/>
      <c r="J5" s="867"/>
      <c r="K5" s="867"/>
      <c r="L5" s="867"/>
      <c r="M5" s="867"/>
      <c r="N5" s="868"/>
      <c r="Z5" s="268"/>
      <c r="AA5" s="268"/>
      <c r="AB5" s="1026" t="s">
        <v>70</v>
      </c>
      <c r="AC5" s="1027"/>
      <c r="AD5" s="1028"/>
      <c r="AE5" s="268"/>
      <c r="AF5" s="268"/>
      <c r="AG5" s="114"/>
      <c r="AH5" s="45"/>
      <c r="AI5" s="429"/>
      <c r="AJ5" s="46"/>
      <c r="AK5" s="430"/>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3"/>
      <c r="BO5" s="653"/>
      <c r="BP5" s="653"/>
      <c r="BQ5" s="653"/>
      <c r="BR5" s="653"/>
      <c r="BS5" s="653"/>
      <c r="BT5" s="653"/>
      <c r="BU5" s="653"/>
      <c r="BV5" s="653"/>
    </row>
    <row r="6" spans="1:74" s="106" customFormat="1" ht="17.100000000000001" thickBot="1">
      <c r="B6" s="869"/>
      <c r="C6" s="870"/>
      <c r="D6" s="870"/>
      <c r="E6" s="870"/>
      <c r="F6" s="870"/>
      <c r="G6" s="870"/>
      <c r="H6" s="870"/>
      <c r="I6" s="870"/>
      <c r="J6" s="870"/>
      <c r="K6" s="870"/>
      <c r="L6" s="870"/>
      <c r="M6" s="870"/>
      <c r="N6" s="871"/>
      <c r="Z6" s="268"/>
      <c r="AA6" s="268"/>
      <c r="AB6" s="826" t="s">
        <v>71</v>
      </c>
      <c r="AC6" s="827"/>
      <c r="AD6" s="828"/>
      <c r="AE6" s="268"/>
      <c r="AF6" s="268"/>
      <c r="AG6" s="114"/>
      <c r="AH6" s="45"/>
      <c r="AI6" s="737" t="s">
        <v>318</v>
      </c>
      <c r="AJ6" s="106" t="s">
        <v>319</v>
      </c>
      <c r="AK6" s="106" t="s">
        <v>320</v>
      </c>
      <c r="AM6" s="652"/>
      <c r="AN6" s="652"/>
      <c r="AO6" s="652"/>
      <c r="AP6" s="652"/>
      <c r="AQ6" s="652"/>
      <c r="AR6" s="652"/>
      <c r="AS6" s="652"/>
      <c r="AT6" s="652"/>
      <c r="AU6" s="652"/>
      <c r="AV6" s="652"/>
      <c r="AW6" s="652"/>
      <c r="AX6" s="652"/>
      <c r="AY6" s="652"/>
      <c r="AZ6" s="652"/>
      <c r="BA6" s="652"/>
      <c r="BB6" s="652"/>
      <c r="BC6" s="652"/>
      <c r="BD6" s="652"/>
      <c r="BE6" s="652"/>
      <c r="BF6" s="652"/>
      <c r="BG6" s="652"/>
      <c r="BH6" s="652"/>
      <c r="BI6" s="652"/>
      <c r="BJ6" s="652"/>
      <c r="BK6" s="652"/>
      <c r="BL6" s="652"/>
      <c r="BM6" s="652"/>
      <c r="BN6" s="653"/>
      <c r="BO6" s="653"/>
      <c r="BP6" s="653"/>
      <c r="BQ6" s="653"/>
      <c r="BR6" s="653"/>
      <c r="BS6" s="653"/>
      <c r="BT6" s="653"/>
      <c r="BU6" s="653"/>
      <c r="BV6" s="653"/>
    </row>
    <row r="7" spans="1:74" s="111" customFormat="1" ht="15.95">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H7" s="45"/>
      <c r="AI7" s="610" t="s">
        <v>321</v>
      </c>
      <c r="AJ7" s="738">
        <v>6850000</v>
      </c>
      <c r="AK7" s="738">
        <v>77120</v>
      </c>
      <c r="AL7" s="106"/>
      <c r="AM7" s="652"/>
      <c r="AN7" s="652"/>
      <c r="AO7" s="652"/>
      <c r="AP7" s="652"/>
      <c r="AQ7" s="652"/>
      <c r="AR7" s="652"/>
      <c r="AS7" s="652"/>
      <c r="AT7" s="652"/>
      <c r="AU7" s="652"/>
      <c r="AV7" s="652"/>
      <c r="AW7" s="652"/>
      <c r="AX7" s="652"/>
      <c r="AY7" s="652"/>
      <c r="AZ7" s="652"/>
      <c r="BA7" s="652"/>
      <c r="BB7" s="652"/>
      <c r="BC7" s="652"/>
      <c r="BD7" s="652"/>
      <c r="BE7" s="652"/>
      <c r="BF7" s="652"/>
      <c r="BG7" s="652"/>
      <c r="BH7" s="652"/>
      <c r="BI7" s="652"/>
      <c r="BJ7" s="652"/>
      <c r="BK7" s="652"/>
      <c r="BL7" s="652"/>
      <c r="BM7" s="652"/>
      <c r="BN7" s="654"/>
      <c r="BO7" s="654"/>
      <c r="BP7" s="654"/>
      <c r="BQ7" s="654"/>
      <c r="BR7" s="654"/>
      <c r="BS7" s="654"/>
      <c r="BT7" s="654"/>
      <c r="BU7" s="654"/>
      <c r="BV7" s="654"/>
    </row>
    <row r="8" spans="1:74" ht="21">
      <c r="A8" s="106"/>
      <c r="B8" s="872" t="s">
        <v>55</v>
      </c>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G8" s="7"/>
      <c r="AH8" s="45"/>
      <c r="AI8" s="739" t="s">
        <v>322</v>
      </c>
      <c r="AJ8" s="738">
        <v>200000</v>
      </c>
      <c r="AK8" s="738">
        <v>5280</v>
      </c>
      <c r="AL8" s="652"/>
      <c r="AM8" s="655"/>
      <c r="AN8" s="652"/>
      <c r="AO8" s="652"/>
      <c r="AP8" s="652"/>
      <c r="AQ8" s="652"/>
      <c r="AR8" s="652"/>
      <c r="AS8" s="652"/>
      <c r="AT8" s="652"/>
      <c r="AU8" s="652"/>
      <c r="AV8" s="652"/>
      <c r="AW8" s="652"/>
      <c r="AX8" s="652"/>
      <c r="AY8" s="653"/>
      <c r="AZ8" s="653"/>
      <c r="BA8" s="653"/>
      <c r="BB8" s="653"/>
      <c r="BC8" s="653"/>
      <c r="BD8" s="653"/>
      <c r="BE8" s="653"/>
      <c r="BF8" s="653"/>
      <c r="BG8" s="653"/>
      <c r="BH8" s="653"/>
      <c r="BI8" s="653"/>
      <c r="BJ8" s="653"/>
      <c r="BK8" s="653"/>
      <c r="BL8" s="653"/>
      <c r="BM8" s="653"/>
      <c r="BN8" s="653"/>
      <c r="BO8" s="653"/>
      <c r="BP8" s="653"/>
      <c r="BQ8" s="653"/>
      <c r="BR8" s="653"/>
      <c r="BS8" s="653"/>
      <c r="BT8" s="653"/>
      <c r="BU8" s="653"/>
      <c r="BV8" s="653"/>
    </row>
    <row r="9" spans="1:74" s="106" customFormat="1">
      <c r="B9" s="1029" t="s">
        <v>323</v>
      </c>
      <c r="C9" s="1030"/>
      <c r="D9" s="1030"/>
      <c r="E9" s="1030"/>
      <c r="F9" s="1030"/>
      <c r="G9" s="1030"/>
      <c r="H9" s="1031"/>
      <c r="I9" s="1032"/>
      <c r="J9" s="1029" t="s">
        <v>324</v>
      </c>
      <c r="K9" s="1031"/>
      <c r="L9" s="1029" t="s">
        <v>325</v>
      </c>
      <c r="M9" s="1030"/>
      <c r="N9" s="1031"/>
      <c r="O9" s="1029" t="s">
        <v>326</v>
      </c>
      <c r="P9" s="1030"/>
      <c r="Q9" s="1030"/>
      <c r="R9" s="1030"/>
      <c r="S9" s="1030"/>
      <c r="T9" s="1030"/>
      <c r="U9" s="1030"/>
      <c r="V9" s="1030"/>
      <c r="W9" s="1031"/>
      <c r="X9" s="1033" t="s">
        <v>327</v>
      </c>
      <c r="Y9" s="1029" t="s">
        <v>328</v>
      </c>
      <c r="Z9" s="1030"/>
      <c r="AA9" s="1030"/>
      <c r="AB9" s="1031"/>
      <c r="AC9" s="1029" t="s">
        <v>329</v>
      </c>
      <c r="AD9" s="1031"/>
      <c r="AE9" s="1029" t="s">
        <v>330</v>
      </c>
      <c r="AF9" s="1031"/>
      <c r="AG9" s="533"/>
      <c r="AH9" s="45"/>
      <c r="AI9" s="739" t="s">
        <v>331</v>
      </c>
      <c r="AJ9" s="738">
        <v>150000</v>
      </c>
      <c r="AK9" s="738">
        <v>5280</v>
      </c>
      <c r="AL9" s="652"/>
      <c r="AM9" s="656"/>
      <c r="AN9" s="656"/>
      <c r="AO9" s="657"/>
      <c r="AP9" s="656"/>
      <c r="AQ9" s="656"/>
      <c r="AR9" s="656"/>
      <c r="AS9" s="656"/>
      <c r="AT9" s="656"/>
      <c r="AU9" s="656"/>
      <c r="AV9" s="656"/>
      <c r="AW9" s="656"/>
      <c r="AX9" s="653"/>
      <c r="AY9" s="653"/>
      <c r="AZ9" s="653"/>
      <c r="BA9" s="653"/>
      <c r="BB9" s="653"/>
      <c r="BC9" s="653"/>
      <c r="BD9" s="653"/>
      <c r="BE9" s="653"/>
      <c r="BF9" s="653"/>
      <c r="BG9" s="653"/>
      <c r="BH9" s="653"/>
      <c r="BI9" s="653"/>
      <c r="BJ9" s="653"/>
      <c r="BK9" s="653"/>
      <c r="BL9" s="653"/>
      <c r="BM9" s="653"/>
      <c r="BN9" s="653"/>
      <c r="BO9" s="653"/>
      <c r="BP9" s="653"/>
      <c r="BQ9" s="653"/>
      <c r="BR9" s="653"/>
      <c r="BS9" s="653"/>
      <c r="BT9" s="653"/>
      <c r="BU9" s="653"/>
      <c r="BV9" s="653"/>
    </row>
    <row r="10" spans="1:74" ht="89.25" customHeight="1">
      <c r="A10" s="106"/>
      <c r="B10" s="10" t="s">
        <v>332</v>
      </c>
      <c r="C10" s="227" t="s">
        <v>333</v>
      </c>
      <c r="D10" s="10" t="s">
        <v>334</v>
      </c>
      <c r="E10" s="10" t="s">
        <v>335</v>
      </c>
      <c r="F10" s="10" t="s">
        <v>336</v>
      </c>
      <c r="G10" s="10" t="s">
        <v>337</v>
      </c>
      <c r="H10" s="10" t="s">
        <v>108</v>
      </c>
      <c r="I10" s="10" t="s">
        <v>338</v>
      </c>
      <c r="J10" s="10" t="s">
        <v>339</v>
      </c>
      <c r="K10" s="10" t="s">
        <v>340</v>
      </c>
      <c r="L10" s="10" t="s">
        <v>341</v>
      </c>
      <c r="M10" s="10" t="s">
        <v>342</v>
      </c>
      <c r="N10" s="10" t="s">
        <v>343</v>
      </c>
      <c r="O10" s="51" t="str">
        <f>"Estimated Annual "&amp;'Building Info &amp; Assumptions'!A347&amp;" Use ("&amp;'Building Info &amp; Assumptions'!C347&amp;")"</f>
        <v>Estimated Annual Electricity Use (kWh)</v>
      </c>
      <c r="P10" s="51" t="str">
        <f>"Estimated Annual "&amp;'Building Info &amp; Assumptions'!A348&amp;" Use ("&amp;'Building Info &amp; Assumptions'!C348&amp;")"</f>
        <v>Estimated Annual Natural Gas Use (therms)</v>
      </c>
      <c r="Q10" s="51" t="str">
        <f>"Estimated Annual "&amp;'Building Info &amp; Assumptions'!A349&amp;" Use ("&amp;'Building Info &amp; Assumptions'!C349&amp;")"</f>
        <v>Estimated Annual Purchased Steam Use (lbs District Steam)</v>
      </c>
      <c r="R10" s="534" t="str">
        <f>"Estimated Annual "&amp;'Building Info &amp; Assumptions'!A350&amp;" Use ("&amp;'Building Info &amp; Assumptions'!C350&amp;")"</f>
        <v>Estimated Annual Purchased Chilled Water Use (MMBtu)</v>
      </c>
      <c r="S10" s="534" t="str">
        <f>"Estimated Annual "&amp;'Building Info &amp; Assumptions'!A351&amp;" Use ("&amp;'Building Info &amp; Assumptions'!C351&amp;")"</f>
        <v>Estimated Annual Purchased Hot Water Use (MMBtu)</v>
      </c>
      <c r="T10" s="534" t="str">
        <f>"Estimated Annual "&amp;'Building Info &amp; Assumptions'!A352&amp;" Use ("&amp;'Building Info &amp; Assumptions'!C352&amp;")"</f>
        <v>Estimated Annual Fuel Oil Use (gallons (Fuel Oil #2))</v>
      </c>
      <c r="U10" s="534" t="str">
        <f>"Estimated Annual "&amp;'Building Info &amp; Assumptions'!A353&amp;" Use ("&amp;'Building Info &amp; Assumptions'!C353&amp;")"</f>
        <v>Estimated Annual Propane Use (gallons (Propane))</v>
      </c>
      <c r="V10" s="534" t="str">
        <f>"Estimated Annual "&amp;'Building Info &amp; Assumptions'!A354&amp;" Use ("&amp;'Building Info &amp; Assumptions'!C354&amp;")"</f>
        <v>Estimated Annual Coal Use (short ton (coal))</v>
      </c>
      <c r="W10" s="51" t="s">
        <v>344</v>
      </c>
      <c r="X10" s="51" t="s">
        <v>345</v>
      </c>
      <c r="Y10" s="51" t="s">
        <v>346</v>
      </c>
      <c r="Z10" s="228" t="s">
        <v>347</v>
      </c>
      <c r="AA10" s="740" t="s">
        <v>348</v>
      </c>
      <c r="AB10" s="228" t="s">
        <v>349</v>
      </c>
      <c r="AC10" s="228" t="s">
        <v>350</v>
      </c>
      <c r="AD10" s="228" t="s">
        <v>351</v>
      </c>
      <c r="AE10" s="51" t="s">
        <v>352</v>
      </c>
      <c r="AF10" s="51" t="s">
        <v>353</v>
      </c>
      <c r="AG10" s="45"/>
      <c r="AH10" s="45"/>
      <c r="AI10" s="739" t="s">
        <v>354</v>
      </c>
      <c r="AJ10" s="738">
        <v>500000</v>
      </c>
      <c r="AK10" s="738">
        <v>56000</v>
      </c>
      <c r="AL10" s="652"/>
      <c r="AM10" s="1034" t="s">
        <v>355</v>
      </c>
      <c r="AN10" s="1035" t="str">
        <f>RIGHT(W10,LEN(W10)-10)</f>
        <v>Annual Energy Use (kBTU)</v>
      </c>
      <c r="AO10" s="1035" t="s">
        <v>44</v>
      </c>
      <c r="AP10" s="1035" t="s">
        <v>356</v>
      </c>
      <c r="AQ10" s="1035" t="s">
        <v>44</v>
      </c>
      <c r="AR10" s="1035" t="s">
        <v>357</v>
      </c>
      <c r="AS10" s="1035" t="s">
        <v>44</v>
      </c>
      <c r="AT10" s="1035" t="s">
        <v>358</v>
      </c>
      <c r="AU10" s="1035" t="s">
        <v>44</v>
      </c>
      <c r="AV10" s="1035" t="s">
        <v>359</v>
      </c>
      <c r="AW10" s="1035" t="s">
        <v>44</v>
      </c>
      <c r="AX10" s="1035" t="str">
        <f>RIGHT(O10,LEN(O10)-10)</f>
        <v>Annual Electricity Use (kWh)</v>
      </c>
      <c r="AY10" s="1035" t="s">
        <v>44</v>
      </c>
      <c r="AZ10" s="1035" t="str">
        <f>RIGHT(P10,LEN(P10)-10)</f>
        <v>Annual Natural Gas Use (therms)</v>
      </c>
      <c r="BA10" s="1035" t="s">
        <v>44</v>
      </c>
      <c r="BB10" s="1035" t="str">
        <f>RIGHT(Q10,LEN(Q10)-10)</f>
        <v>Annual Purchased Steam Use (lbs District Steam)</v>
      </c>
      <c r="BC10" s="1035" t="s">
        <v>44</v>
      </c>
      <c r="BD10" s="1035" t="str">
        <f>RIGHT(R10,LEN(R10)-10)</f>
        <v>Annual Purchased Chilled Water Use (MMBtu)</v>
      </c>
      <c r="BE10" s="1035" t="s">
        <v>44</v>
      </c>
      <c r="BF10" s="1036" t="str">
        <f>RIGHT(S10,LEN(S10)-10)</f>
        <v>Annual Purchased Hot Water Use (MMBtu)</v>
      </c>
      <c r="BG10" s="1036" t="s">
        <v>44</v>
      </c>
      <c r="BH10" s="1036" t="str">
        <f>RIGHT(T10,LEN(T10)-10)</f>
        <v>Annual Fuel Oil Use (gallons (Fuel Oil #2))</v>
      </c>
      <c r="BI10" s="1036" t="s">
        <v>44</v>
      </c>
      <c r="BJ10" s="1036" t="str">
        <f>RIGHT(U10,LEN(U10)-10)</f>
        <v>Annual Propane Use (gallons (Propane))</v>
      </c>
      <c r="BK10" s="1036" t="s">
        <v>44</v>
      </c>
      <c r="BL10" s="1036" t="str">
        <f>RIGHT(V10,LEN(V10)-10)</f>
        <v>Annual Coal Use (short ton (coal))</v>
      </c>
      <c r="BM10" s="1035" t="s">
        <v>44</v>
      </c>
      <c r="BN10" s="1035" t="s">
        <v>360</v>
      </c>
      <c r="BO10" s="1035" t="s">
        <v>361</v>
      </c>
      <c r="BP10" s="1035" t="s">
        <v>362</v>
      </c>
      <c r="BQ10" s="1035" t="s">
        <v>363</v>
      </c>
      <c r="BR10" s="1035" t="s">
        <v>364</v>
      </c>
      <c r="BS10" s="1035" t="s">
        <v>365</v>
      </c>
      <c r="BT10" s="1035" t="s">
        <v>366</v>
      </c>
      <c r="BU10" s="1035" t="s">
        <v>367</v>
      </c>
      <c r="BV10" s="1035" t="s">
        <v>368</v>
      </c>
    </row>
    <row r="11" spans="1:74" ht="45" customHeight="1">
      <c r="A11" s="106"/>
      <c r="B11" s="95" t="s">
        <v>369</v>
      </c>
      <c r="C11" s="588" t="s">
        <v>370</v>
      </c>
      <c r="D11" s="588" t="s">
        <v>371</v>
      </c>
      <c r="E11" s="588" t="s">
        <v>372</v>
      </c>
      <c r="F11" s="588" t="s">
        <v>373</v>
      </c>
      <c r="G11" s="588" t="s">
        <v>374</v>
      </c>
      <c r="H11" s="588" t="s">
        <v>375</v>
      </c>
      <c r="I11" s="716" t="s">
        <v>376</v>
      </c>
      <c r="J11" s="95" t="s">
        <v>110</v>
      </c>
      <c r="K11" s="1037">
        <v>0.2</v>
      </c>
      <c r="L11" s="320">
        <v>6000</v>
      </c>
      <c r="M11" s="320" t="s">
        <v>377</v>
      </c>
      <c r="N11" s="320" t="s">
        <v>378</v>
      </c>
      <c r="O11" s="1038">
        <f>IF(J11="Electricity",K11*'Building Info &amp; Assumptions'!$B$347,0)</f>
        <v>9880000</v>
      </c>
      <c r="P11" s="1038">
        <f>IF(J11="Natural Gas",K11*'Building Info &amp; Assumptions'!$B$348,0)</f>
        <v>0</v>
      </c>
      <c r="Q11" s="1038">
        <f>IF(J11='Building Info &amp; Assumptions'!$A$349,K11*'Building Info &amp; Assumptions'!$B$349,0)</f>
        <v>0</v>
      </c>
      <c r="R11" s="1038">
        <f>IF(J11='Building Info &amp; Assumptions'!$A$350,K11*'Building Info &amp; Assumptions'!$B$350,0)</f>
        <v>0</v>
      </c>
      <c r="S11" s="1038">
        <f>IF(J11='Building Info &amp; Assumptions'!$A$351,K11*'Building Info &amp; Assumptions'!$B$351,0)</f>
        <v>0</v>
      </c>
      <c r="T11" s="1038">
        <f>IF(J11='Building Info &amp; Assumptions'!$A$352,K11*'Building Info &amp; Assumptions'!$B$352,0)</f>
        <v>0</v>
      </c>
      <c r="U11" s="1038">
        <f>IF(J11='Building Info &amp; Assumptions'!$A$353,K11*'Building Info &amp; Assumptions'!$B$353,0)</f>
        <v>0</v>
      </c>
      <c r="V11" s="1038">
        <f>IF(J11='Building Info &amp; Assumptions'!$A$354,K11*'Building Info &amp; Assumptions'!$B$354,0)</f>
        <v>0</v>
      </c>
      <c r="W11" s="1038">
        <f t="shared" ref="W11:W34" si="0">O11*kBTUperKWH+P11*kBTUperTherm+Q11*kBTUperlbsSteam+R11*kBTUperUnit_Util4+S11*kBTUperUnit_Util5+T11*kBTUperUnit_Util6+U11*kBTUperUnit_Util7+V11*kBTUperUnit_Util8</f>
        <v>33710560</v>
      </c>
      <c r="X11" s="1039">
        <f>O11*'Building Info &amp; Assumptions'!$B$89+P11*'Building Info &amp; Assumptions'!$B$90+Q11*'Building Info &amp; Assumptions'!$B$91+R11*'Building Info &amp; Assumptions'!$B$92+S11*'Building Info &amp; Assumptions'!$B$93+T11*'Building Info &amp; Assumptions'!$B$94+U11*'Building Info &amp; Assumptions'!$B$95+V11*'Building Info &amp; Assumptions'!$B$96</f>
        <v>836.73720000000003</v>
      </c>
      <c r="Y11" s="50">
        <v>2008</v>
      </c>
      <c r="Z11" s="232">
        <f>IFERROR(VLOOKUP(C11,'Drop Down Lists'!$AZ$2:$BA$46,2,FALSE),0)</f>
        <v>25</v>
      </c>
      <c r="AA11" s="1040">
        <f>500*6000</f>
        <v>3000000</v>
      </c>
      <c r="AB11" s="1041">
        <v>0.05</v>
      </c>
      <c r="AC11" s="1042">
        <f t="shared" ref="AC11:AC34" si="1">(O11*Rate_ElecBlended+P11*Rate_NatGas+Q11*Rate_Steam+R11*rate_util4+S11*Rate_Util5+T11*Rate_util6+U11*rate_Util7+V11*rate_Util8)*AB11</f>
        <v>68640</v>
      </c>
      <c r="AD11" s="1043">
        <f>AB11*(O11*'Building Info &amp; Assumptions'!$B$89+P11*'Building Info &amp; Assumptions'!$B$90+Q11*'Building Info &amp; Assumptions'!$B$91+R11*'Building Info &amp; Assumptions'!$B$92+S11*'Building Info &amp; Assumptions'!$B$93+T11*'Building Info &amp; Assumptions'!$B$94+U11*'Building Info &amp; Assumptions'!$B$95+V11*'Building Info &amp; Assumptions'!$B$96)</f>
        <v>41.836860000000001</v>
      </c>
      <c r="AE11" s="1044" t="str">
        <f t="shared" ref="AE11:AE34" ca="1" si="2">IF(AF11&lt;6,"1 to 5",IF(AND(AF11&gt;5,AF11&lt;=9),"6 to 10",IF(AND(AF11&gt;9,AF11&lt;=14),"11 to 15","16+")))</f>
        <v>6 to 10</v>
      </c>
      <c r="AF11" s="235">
        <f t="shared" ref="AF11:AF34" ca="1" si="3">Z11-(YEAR(TODAY())-Y11)</f>
        <v>9</v>
      </c>
      <c r="AG11" s="45"/>
      <c r="AH11" s="45"/>
      <c r="AI11" s="739" t="s">
        <v>231</v>
      </c>
      <c r="AJ11" s="738">
        <v>6000000</v>
      </c>
      <c r="AK11" s="738">
        <v>10560</v>
      </c>
      <c r="AL11" s="652"/>
      <c r="AM11" s="1045" t="s">
        <v>321</v>
      </c>
      <c r="AN11" s="1046">
        <f ca="1">SUMIF($AE$11:$AE$34,AM11,$W$11:$W$34)</f>
        <v>184502760</v>
      </c>
      <c r="AO11" s="1047">
        <f ca="1">IFERROR(AN11/SUM(AN$11:AN$14),0)</f>
        <v>0.66557804498302353</v>
      </c>
      <c r="AP11" s="1046">
        <f ca="1">SUMIFS($W$11:$W$34,$AE$11:$AE$34,AM11,$I$11:$I$34,"Yes")</f>
        <v>42138200</v>
      </c>
      <c r="AQ11" s="1048">
        <f ca="1">AP11/SUM($AN$11:$AN$14)</f>
        <v>0.15200997955317114</v>
      </c>
      <c r="AR11" s="1046">
        <f ca="1">AN11-AP11</f>
        <v>142364560</v>
      </c>
      <c r="AS11" s="1048">
        <f ca="1">AR11/SUM($AN$11:$AN$14)</f>
        <v>0.51356806542985234</v>
      </c>
      <c r="AT11" s="1049">
        <f ca="1">SUMIFS($X$11:$X$34,$I$11:$I$34,"Yes",$AE$11:$AE$34,$AM11)</f>
        <v>1045.9214999999999</v>
      </c>
      <c r="AU11" s="1048">
        <f ca="1">AT11/SUM($X$11:$X$34)</f>
        <v>0.12643635712175402</v>
      </c>
      <c r="AV11" s="1049">
        <f ca="1">SUMIFS($X$11:$X$34,$I$11:$I$34,"No",$AE$11:$AE$34,$AM11)</f>
        <v>4925.3671999999997</v>
      </c>
      <c r="AW11" s="1048">
        <f ca="1">AV11/SUM($X$11:$X$34)</f>
        <v>0.59540365721038691</v>
      </c>
      <c r="AX11" s="1046">
        <f ca="1">SUMIF($AE$11:$AE$34,AM11,$O$11:$O$34)</f>
        <v>22230000</v>
      </c>
      <c r="AY11" s="1047">
        <f ca="1">IFERROR(AX11/SUM(AX$11:AX$14),0)</f>
        <v>0.45</v>
      </c>
      <c r="AZ11" s="1046">
        <f ca="1">SUMIF($AE$11:$AE$34,AM11,$P$11:$P$34)</f>
        <v>0</v>
      </c>
      <c r="BA11" s="1047">
        <f ca="1">IFERROR(AZ11/SUM(AZ$11:AZ$14),0)</f>
        <v>0</v>
      </c>
      <c r="BB11" s="1046">
        <f ca="1">SUMIF($AE$11:$AE$34,AM11,$Q$11:$Q$34)</f>
        <v>91000000</v>
      </c>
      <c r="BC11" s="1047">
        <f ca="1">IFERROR(BB11/SUM(BB$11:BB$14),0)</f>
        <v>1</v>
      </c>
      <c r="BD11" s="1046">
        <f ca="1">SUMIF($AE$11:$AE$34,AM11,$R$11:$R$34)</f>
        <v>0</v>
      </c>
      <c r="BE11" s="1047">
        <f ca="1">IFERROR(BD11/SUM(BD$11:BD$14),0)</f>
        <v>0</v>
      </c>
      <c r="BF11" s="1046">
        <f ca="1">SUMIF($AE$11:$AE$34,AM11,$S$11:$S$34)</f>
        <v>0</v>
      </c>
      <c r="BG11" s="1047">
        <f ca="1">IFERROR(BF11/SUM(BF$11:BF$14),0)</f>
        <v>0</v>
      </c>
      <c r="BH11" s="1046">
        <f ca="1">SUMIF($AE$11:$AE$34,AM11,$T$11:$T$34)</f>
        <v>0</v>
      </c>
      <c r="BI11" s="1047">
        <f ca="1">IFERROR(BH11/SUM(BH$11:BH$14),0)</f>
        <v>0</v>
      </c>
      <c r="BJ11" s="1046">
        <f ca="1">SUMIF($AE$11:$AE$34,AM11,$U$11:$U$34)</f>
        <v>0</v>
      </c>
      <c r="BK11" s="1047">
        <f ca="1">IFERROR(BJ11/SUM(BJ$11:BJ$14),0)</f>
        <v>0</v>
      </c>
      <c r="BL11" s="1046">
        <f ca="1">SUMIF($AE$11:$AE$34,AM11,$V$11:$V$34)</f>
        <v>0</v>
      </c>
      <c r="BM11" s="1047">
        <f ca="1">IFERROR(BL11/SUM(BL$11:BL$14),0)</f>
        <v>0</v>
      </c>
      <c r="BN11" s="1049" cm="1">
        <f t="array" aca="1" ref="BN11" ca="1">SUMPRODUCT(($AE$11:$AE$34=AM11)*$W$11:$W$34*$AB$11:$AB$34)</f>
        <v>3184396.8000000003</v>
      </c>
      <c r="BO11" s="1049" cm="1">
        <f t="array" aca="1" ref="BO11" ca="1">SUMPRODUCT($O$11:$O$34*$AB$11:$AB$34*($AE$11:$AE$34=$AM11))</f>
        <v>296400</v>
      </c>
      <c r="BP11" s="1049" cm="1">
        <f t="array" aca="1" ref="BP11" ca="1">SUMPRODUCT($L$11:$L$34*$AB$11:$AB$34*($AE$11:$AE$34=$AM11))</f>
        <v>66</v>
      </c>
      <c r="BQ11" s="1049" cm="1">
        <f t="array" aca="1" ref="BQ11" ca="1">SUMPRODUCT($P$11:$P$34*$AB$11:$AB$34*($AE$11:$AE$34=$AM11))</f>
        <v>0</v>
      </c>
      <c r="BR11" s="1049" cm="1">
        <f t="array" aca="1" ref="BR11" ca="1">SUMPRODUCT($Q$11:$Q$34*$AB$11:$AB$34*($AE$11:$AE$34=$AM11))</f>
        <v>1820000</v>
      </c>
      <c r="BS11" s="1049" cm="1">
        <f t="array" aca="1" ref="BS11" ca="1">SUMPRODUCT($R$11:$R$34*$AB$11:$AB$34*($AE$11:$AE$34=$AM11))</f>
        <v>0</v>
      </c>
      <c r="BT11" s="1049" cm="1">
        <f t="array" aca="1" ref="BT11" ca="1">SUMPRODUCT($S$11:$S$34*$AB$11:$AB$34*($AE$11:$AE$34=$AM11))</f>
        <v>0</v>
      </c>
      <c r="BU11" s="1049" cm="1">
        <f t="array" aca="1" ref="BU11" ca="1">SUMPRODUCT($T$11:$T$34*$AB$11:$AB$34*($AE$11:$AE$34=$AM11))</f>
        <v>0</v>
      </c>
      <c r="BV11" s="1050">
        <f ca="1">SUMIF($AE$11:$AE$34,AM11,$AC$11:$AC$34)</f>
        <v>113984</v>
      </c>
    </row>
    <row r="12" spans="1:74" ht="50.1" customHeight="1">
      <c r="A12" s="106"/>
      <c r="B12" s="95" t="s">
        <v>379</v>
      </c>
      <c r="C12" s="588" t="s">
        <v>380</v>
      </c>
      <c r="D12" s="588" t="s">
        <v>381</v>
      </c>
      <c r="E12" s="588" t="s">
        <v>382</v>
      </c>
      <c r="F12" s="588" t="s">
        <v>373</v>
      </c>
      <c r="G12" s="588" t="s">
        <v>374</v>
      </c>
      <c r="H12" s="588" t="s">
        <v>375</v>
      </c>
      <c r="I12" s="716" t="s">
        <v>376</v>
      </c>
      <c r="J12" s="95" t="s">
        <v>110</v>
      </c>
      <c r="K12" s="1051">
        <v>0.05</v>
      </c>
      <c r="L12" s="421">
        <v>500</v>
      </c>
      <c r="M12" s="320" t="s">
        <v>377</v>
      </c>
      <c r="N12" s="320" t="s">
        <v>378</v>
      </c>
      <c r="O12" s="1038">
        <f>IF(J12="Electricity",K12*'Building Info &amp; Assumptions'!$B$347,0)</f>
        <v>2470000</v>
      </c>
      <c r="P12" s="1038">
        <f>IF(J12="Natural Gas",K12*'Building Info &amp; Assumptions'!$B$348,0)</f>
        <v>0</v>
      </c>
      <c r="Q12" s="1038">
        <f>IF(J12='Building Info &amp; Assumptions'!$A$349,K12*'Building Info &amp; Assumptions'!$B$349,0)</f>
        <v>0</v>
      </c>
      <c r="R12" s="1038">
        <f>IF(J12='Building Info &amp; Assumptions'!$A$350,K12*'Building Info &amp; Assumptions'!$B$350,0)</f>
        <v>0</v>
      </c>
      <c r="S12" s="1038">
        <f>IF(J12='Building Info &amp; Assumptions'!$A$351,K12*'Building Info &amp; Assumptions'!$B$351,0)</f>
        <v>0</v>
      </c>
      <c r="T12" s="1038">
        <f>IF(J12='Building Info &amp; Assumptions'!$A$352,K12*'Building Info &amp; Assumptions'!$B$352,0)</f>
        <v>0</v>
      </c>
      <c r="U12" s="1038">
        <f>IF(J12='Building Info &amp; Assumptions'!$A$353,K12*'Building Info &amp; Assumptions'!$B$353,0)</f>
        <v>0</v>
      </c>
      <c r="V12" s="1038">
        <f>IF(J12='Building Info &amp; Assumptions'!$A$354,K12*'Building Info &amp; Assumptions'!$B$354,0)</f>
        <v>0</v>
      </c>
      <c r="W12" s="1038">
        <f t="shared" si="0"/>
        <v>8427640</v>
      </c>
      <c r="X12" s="1039">
        <f>O12*'Building Info &amp; Assumptions'!$B$89+P12*'Building Info &amp; Assumptions'!$B$90+Q12*'Building Info &amp; Assumptions'!$B$91+R12*'Building Info &amp; Assumptions'!$B$92+S12*'Building Info &amp; Assumptions'!$B$93+T12*'Building Info &amp; Assumptions'!$B$94+U12*'Building Info &amp; Assumptions'!$B$95+V12*'Building Info &amp; Assumptions'!$B$96</f>
        <v>209.18430000000001</v>
      </c>
      <c r="Y12" s="50">
        <v>2008</v>
      </c>
      <c r="Z12" s="232">
        <f>IFERROR(VLOOKUP(C12,'Drop Down Lists'!$AZ$2:$BA$46,2,FALSE),0)</f>
        <v>20</v>
      </c>
      <c r="AA12" s="1040">
        <f>500*600</f>
        <v>300000</v>
      </c>
      <c r="AB12" s="1041">
        <v>0.02</v>
      </c>
      <c r="AC12" s="1042">
        <f t="shared" si="1"/>
        <v>6864</v>
      </c>
      <c r="AD12" s="1043">
        <f>AB12*(O12*'Building Info &amp; Assumptions'!$B$89+P12*'Building Info &amp; Assumptions'!$B$90+Q12*'Building Info &amp; Assumptions'!$B$91+R12*'Building Info &amp; Assumptions'!$B$92+S12*'Building Info &amp; Assumptions'!$B$93+T12*'Building Info &amp; Assumptions'!$B$94+U12*'Building Info &amp; Assumptions'!$B$95+V12*'Building Info &amp; Assumptions'!$B$96)</f>
        <v>4.1836859999999998</v>
      </c>
      <c r="AE12" s="1044" t="str">
        <f t="shared" ca="1" si="2"/>
        <v>1 to 5</v>
      </c>
      <c r="AF12" s="235">
        <f t="shared" ca="1" si="3"/>
        <v>4</v>
      </c>
      <c r="AG12" s="45"/>
      <c r="AH12" s="45"/>
      <c r="AI12" s="739" t="s">
        <v>383</v>
      </c>
      <c r="AJ12" s="738"/>
      <c r="AK12" s="738">
        <v>0</v>
      </c>
      <c r="AL12" s="652"/>
      <c r="AM12" s="1045" t="s">
        <v>384</v>
      </c>
      <c r="AN12" s="1046">
        <f t="shared" ref="AN12:AN14" ca="1" si="4">SUMIF($AE$11:$AE$34,AM12,$W$11:$W$34)</f>
        <v>67421120</v>
      </c>
      <c r="AO12" s="1047">
        <f ca="1">IFERROR(AN12/SUM(AN$11:AN$14),0)</f>
        <v>0.2432159672850738</v>
      </c>
      <c r="AP12" s="1046">
        <f t="shared" ref="AP12:AP14" ca="1" si="5">SUMIFS($W$11:$W$34,$AE$11:$AE$34,AM12,$I$11:$I$34,"Yes")</f>
        <v>16855280</v>
      </c>
      <c r="AQ12" s="1048">
        <f t="shared" ref="AQ12:AS14" ca="1" si="6">AP12/SUM($AN$11:$AN$14)</f>
        <v>6.0803991821268451E-2</v>
      </c>
      <c r="AR12" s="1046">
        <f t="shared" ref="AR12:AR14" ca="1" si="7">AN12-AP12</f>
        <v>50565840</v>
      </c>
      <c r="AS12" s="1048">
        <f t="shared" ca="1" si="6"/>
        <v>0.18241197546380536</v>
      </c>
      <c r="AT12" s="1049">
        <f t="shared" ref="AT12:AT14" ca="1" si="8">SUMIFS($X$11:$X$34,$I$11:$I$34,"Yes",$AE$11:$AE$34,$AM12)</f>
        <v>418.36860000000001</v>
      </c>
      <c r="AU12" s="1048">
        <f t="shared" ref="AU12:AW14" ca="1" si="9">AT12/SUM($X$11:$X$34)</f>
        <v>5.0574542848701616E-2</v>
      </c>
      <c r="AV12" s="1049">
        <f t="shared" ref="AV12:AV14" ca="1" si="10">SUMIFS($X$11:$X$34,$I$11:$I$34,"No",$AE$11:$AE$34,$AM12)</f>
        <v>1255.1057999999998</v>
      </c>
      <c r="AW12" s="1048">
        <f t="shared" ca="1" si="9"/>
        <v>0.15172362854610483</v>
      </c>
      <c r="AX12" s="1046">
        <f t="shared" ref="AX12:AX14" ca="1" si="11">SUMIF($AE$11:$AE$34,AM12,$O$11:$O$34)</f>
        <v>19760000</v>
      </c>
      <c r="AY12" s="1047">
        <f ca="1">IFERROR(AX12/SUM(AX$11:AX$14),0)</f>
        <v>0.4</v>
      </c>
      <c r="AZ12" s="1046">
        <f t="shared" ref="AZ12:AZ14" ca="1" si="12">SUMIF($AE$11:$AE$34,AM12,$P$11:$P$34)</f>
        <v>0</v>
      </c>
      <c r="BA12" s="1047">
        <f ca="1">IFERROR(AZ12/SUM(AZ$11:AZ$14),0)</f>
        <v>0</v>
      </c>
      <c r="BB12" s="1046">
        <f t="shared" ref="BB12:BB14" ca="1" si="13">SUMIF($AE$11:$AE$34,AM12,$Q$11:$Q$34)</f>
        <v>0</v>
      </c>
      <c r="BC12" s="1047">
        <f ca="1">IFERROR(BB12/SUM(BB$11:BB$14),0)</f>
        <v>0</v>
      </c>
      <c r="BD12" s="1046">
        <f t="shared" ref="BD12:BD14" ca="1" si="14">SUMIF($AE$11:$AE$34,AM12,$R$11:$R$34)</f>
        <v>0</v>
      </c>
      <c r="BE12" s="1047">
        <f ca="1">IFERROR(BD12/SUM(BD$11:BD$14),0)</f>
        <v>0</v>
      </c>
      <c r="BF12" s="1046">
        <f t="shared" ref="BF12:BF14" ca="1" si="15">SUMIF($AE$11:$AE$34,AM12,$S$11:$S$34)</f>
        <v>0</v>
      </c>
      <c r="BG12" s="1047">
        <f ca="1">IFERROR(BF12/SUM(BF$11:BF$14),0)</f>
        <v>0</v>
      </c>
      <c r="BH12" s="1046">
        <f t="shared" ref="BH12:BH14" ca="1" si="16">SUMIF($AE$11:$AE$34,AM12,$T$11:$T$34)</f>
        <v>0</v>
      </c>
      <c r="BI12" s="1047">
        <f ca="1">IFERROR(BH12/SUM(BH$11:BH$14),0)</f>
        <v>0</v>
      </c>
      <c r="BJ12" s="1046">
        <f t="shared" ref="BJ12:BJ14" ca="1" si="17">SUMIF($AE$11:$AE$34,AM12,$U$11:$U$34)</f>
        <v>0</v>
      </c>
      <c r="BK12" s="1047">
        <f ca="1">IFERROR(BJ12/SUM(BJ$11:BJ$14),0)</f>
        <v>0</v>
      </c>
      <c r="BL12" s="1046">
        <f t="shared" ref="BL12:BL14" ca="1" si="18">SUMIF($AE$11:$AE$34,AM12,$V$11:$V$34)</f>
        <v>0</v>
      </c>
      <c r="BM12" s="1047">
        <f ca="1">IFERROR(BL12/SUM(BL$11:BL$14),0)</f>
        <v>0</v>
      </c>
      <c r="BN12" s="1049">
        <f t="array" aca="1" ref="BN12" ca="1">SUMPRODUCT(($AE$11:$AE$34=AM12)*$W$11:$W$34*$AB$11:$AB$34)</f>
        <v>1854080.8</v>
      </c>
      <c r="BO12" s="1049" cm="1">
        <f t="array" aca="1" ref="BO12" ca="1">SUMPRODUCT($O$11:$O$34*$AB$11:$AB$34*($AE$11:$AE$34=$AM12))</f>
        <v>543400</v>
      </c>
      <c r="BP12" s="1049" cm="1">
        <f t="array" aca="1" ref="BP12" ca="1">SUMPRODUCT($L$11:$L$34*$AB$11:$AB$34*($AE$11:$AE$34=$AM12))</f>
        <v>320</v>
      </c>
      <c r="BQ12" s="1049" cm="1">
        <f t="array" aca="1" ref="BQ12" ca="1">SUMPRODUCT($P$11:$P$34*$AB$11:$AB$34*($AE$11:$AE$34=$AM12))</f>
        <v>0</v>
      </c>
      <c r="BR12" s="1049" cm="1">
        <f t="array" aca="1" ref="BR12" ca="1">SUMPRODUCT($Q$11:$Q$34*$AB$11:$AB$34*($AE$11:$AE$34=$AM12))</f>
        <v>0</v>
      </c>
      <c r="BS12" s="1049" cm="1">
        <f t="array" aca="1" ref="BS12" ca="1">SUMPRODUCT($R$11:$R$34*$AB$11:$AB$34*($AE$11:$AE$34=$AM12))</f>
        <v>0</v>
      </c>
      <c r="BT12" s="1049" cm="1">
        <f t="array" aca="1" ref="BT12" ca="1">SUMPRODUCT($S$11:$S$34*$AB$11:$AB$34*($AE$11:$AE$34=$AM12))</f>
        <v>0</v>
      </c>
      <c r="BU12" s="1049" cm="1">
        <f t="array" aca="1" ref="BU12" ca="1">SUMPRODUCT($T$11:$T$34*$AB$11:$AB$34*($AE$11:$AE$34=$AM12))</f>
        <v>0</v>
      </c>
      <c r="BV12" s="1050">
        <f t="shared" ref="BV12:BV14" ca="1" si="19">SUMIF($AE$11:$AE$34,AM12,$AC$11:$AC$34)</f>
        <v>75504</v>
      </c>
    </row>
    <row r="13" spans="1:74" ht="40.5" customHeight="1">
      <c r="A13" s="106"/>
      <c r="B13" s="95" t="s">
        <v>369</v>
      </c>
      <c r="C13" s="588" t="s">
        <v>385</v>
      </c>
      <c r="D13" s="588" t="s">
        <v>386</v>
      </c>
      <c r="E13" s="588" t="s">
        <v>387</v>
      </c>
      <c r="F13" s="588" t="s">
        <v>388</v>
      </c>
      <c r="G13" s="588" t="s">
        <v>389</v>
      </c>
      <c r="H13" s="588" t="s">
        <v>375</v>
      </c>
      <c r="I13" s="716" t="s">
        <v>376</v>
      </c>
      <c r="J13" s="95" t="s">
        <v>110</v>
      </c>
      <c r="K13" s="1037">
        <v>0.05</v>
      </c>
      <c r="L13" s="420">
        <v>200</v>
      </c>
      <c r="M13" s="320" t="s">
        <v>377</v>
      </c>
      <c r="N13" s="320" t="s">
        <v>378</v>
      </c>
      <c r="O13" s="1038">
        <f>IF(J13="Electricity",K13*'Building Info &amp; Assumptions'!$B$347,0)</f>
        <v>2470000</v>
      </c>
      <c r="P13" s="1038">
        <f>IF(J13="Natural Gas",K13*'Building Info &amp; Assumptions'!$B$348,0)</f>
        <v>0</v>
      </c>
      <c r="Q13" s="1038">
        <f>IF(J13='Building Info &amp; Assumptions'!$A$349,K13*'Building Info &amp; Assumptions'!$B$349,0)</f>
        <v>0</v>
      </c>
      <c r="R13" s="1038">
        <f>IF(J13='Building Info &amp; Assumptions'!$A$350,K13*'Building Info &amp; Assumptions'!$B$350,0)</f>
        <v>0</v>
      </c>
      <c r="S13" s="1038">
        <f>IF(J13='Building Info &amp; Assumptions'!$A$351,K13*'Building Info &amp; Assumptions'!$B$351,0)</f>
        <v>0</v>
      </c>
      <c r="T13" s="1038">
        <f>IF(J13='Building Info &amp; Assumptions'!$A$352,K13*'Building Info &amp; Assumptions'!$B$352,0)</f>
        <v>0</v>
      </c>
      <c r="U13" s="1038">
        <f>IF(J13='Building Info &amp; Assumptions'!$A$353,K13*'Building Info &amp; Assumptions'!$B$353,0)</f>
        <v>0</v>
      </c>
      <c r="V13" s="1038">
        <f>IF(J13='Building Info &amp; Assumptions'!$A$354,K13*'Building Info &amp; Assumptions'!$B$354,0)</f>
        <v>0</v>
      </c>
      <c r="W13" s="1038">
        <f t="shared" si="0"/>
        <v>8427640</v>
      </c>
      <c r="X13" s="1039">
        <f>O13*'Building Info &amp; Assumptions'!$B$89+P13*'Building Info &amp; Assumptions'!$B$90+Q13*'Building Info &amp; Assumptions'!$B$91+R13*'Building Info &amp; Assumptions'!$B$92+S13*'Building Info &amp; Assumptions'!$B$93+T13*'Building Info &amp; Assumptions'!$B$94+U13*'Building Info &amp; Assumptions'!$B$95+V13*'Building Info &amp; Assumptions'!$B$96</f>
        <v>209.18430000000001</v>
      </c>
      <c r="Y13" s="50">
        <v>2008</v>
      </c>
      <c r="Z13" s="232">
        <f>IFERROR(VLOOKUP(C13,'Drop Down Lists'!$AZ$2:$BA$46,2,FALSE),0)</f>
        <v>22</v>
      </c>
      <c r="AA13" s="1040">
        <f>1500000</f>
        <v>1500000</v>
      </c>
      <c r="AB13" s="1041">
        <v>0</v>
      </c>
      <c r="AC13" s="1042">
        <f t="shared" si="1"/>
        <v>0</v>
      </c>
      <c r="AD13" s="1043">
        <f>AB13*(O13*'Building Info &amp; Assumptions'!$B$89+P13*'Building Info &amp; Assumptions'!$B$90+Q13*'Building Info &amp; Assumptions'!$B$91+R13*'Building Info &amp; Assumptions'!$B$92+S13*'Building Info &amp; Assumptions'!$B$93+T13*'Building Info &amp; Assumptions'!$B$94+U13*'Building Info &amp; Assumptions'!$B$95+V13*'Building Info &amp; Assumptions'!$B$96)</f>
        <v>0</v>
      </c>
      <c r="AE13" s="1044" t="str">
        <f t="shared" ca="1" si="2"/>
        <v>6 to 10</v>
      </c>
      <c r="AF13" s="235">
        <f t="shared" ca="1" si="3"/>
        <v>6</v>
      </c>
      <c r="AG13" s="45"/>
      <c r="AH13" s="45"/>
      <c r="AI13" s="610" t="s">
        <v>390</v>
      </c>
      <c r="AJ13" s="738">
        <v>6300000</v>
      </c>
      <c r="AK13" s="738">
        <v>73920</v>
      </c>
      <c r="AL13" s="652"/>
      <c r="AM13" s="1045" t="s">
        <v>390</v>
      </c>
      <c r="AN13" s="1046">
        <f t="shared" ca="1" si="4"/>
        <v>25282920</v>
      </c>
      <c r="AO13" s="1047">
        <f ca="1">IFERROR(AN13/SUM(AN$11:AN$14),0)</f>
        <v>9.120598773190268E-2</v>
      </c>
      <c r="AP13" s="1046">
        <f t="shared" ca="1" si="5"/>
        <v>25282920</v>
      </c>
      <c r="AQ13" s="1048">
        <f t="shared" ca="1" si="6"/>
        <v>9.120598773190268E-2</v>
      </c>
      <c r="AR13" s="1046">
        <f t="shared" ca="1" si="7"/>
        <v>0</v>
      </c>
      <c r="AS13" s="1048">
        <f t="shared" ca="1" si="6"/>
        <v>0</v>
      </c>
      <c r="AT13" s="1049">
        <f t="shared" ca="1" si="8"/>
        <v>627.55290000000002</v>
      </c>
      <c r="AU13" s="1048">
        <f t="shared" ca="1" si="9"/>
        <v>7.5861814273052428E-2</v>
      </c>
      <c r="AV13" s="1049">
        <f t="shared" ca="1" si="10"/>
        <v>0</v>
      </c>
      <c r="AW13" s="1048">
        <f t="shared" ca="1" si="9"/>
        <v>0</v>
      </c>
      <c r="AX13" s="1046">
        <f t="shared" ca="1" si="11"/>
        <v>7410000</v>
      </c>
      <c r="AY13" s="1047">
        <f ca="1">IFERROR(AX13/SUM(AX$11:AX$14),0)</f>
        <v>0.15</v>
      </c>
      <c r="AZ13" s="1046">
        <f t="shared" ca="1" si="12"/>
        <v>0</v>
      </c>
      <c r="BA13" s="1047">
        <f ca="1">IFERROR(AZ13/SUM(AZ$11:AZ$14),0)</f>
        <v>0</v>
      </c>
      <c r="BB13" s="1046">
        <f t="shared" ca="1" si="13"/>
        <v>0</v>
      </c>
      <c r="BC13" s="1047">
        <f ca="1">IFERROR(BB13/SUM(BB$11:BB$14),0)</f>
        <v>0</v>
      </c>
      <c r="BD13" s="1046">
        <f t="shared" ca="1" si="14"/>
        <v>0</v>
      </c>
      <c r="BE13" s="1047">
        <f ca="1">IFERROR(BD13/SUM(BD$11:BD$14),0)</f>
        <v>0</v>
      </c>
      <c r="BF13" s="1046">
        <f t="shared" ca="1" si="15"/>
        <v>0</v>
      </c>
      <c r="BG13" s="1047">
        <f ca="1">IFERROR(BF13/SUM(BF$11:BF$14),0)</f>
        <v>0</v>
      </c>
      <c r="BH13" s="1046">
        <f t="shared" ca="1" si="16"/>
        <v>0</v>
      </c>
      <c r="BI13" s="1047">
        <f ca="1">IFERROR(BH13/SUM(BH$11:BH$14),0)</f>
        <v>0</v>
      </c>
      <c r="BJ13" s="1046">
        <f t="shared" ca="1" si="17"/>
        <v>0</v>
      </c>
      <c r="BK13" s="1047">
        <f ca="1">IFERROR(BJ13/SUM(BJ$11:BJ$14),0)</f>
        <v>0</v>
      </c>
      <c r="BL13" s="1046">
        <f t="shared" ca="1" si="18"/>
        <v>0</v>
      </c>
      <c r="BM13" s="1047">
        <f ca="1">IFERROR(BL13/SUM(BL$11:BL$14),0)</f>
        <v>0</v>
      </c>
      <c r="BN13" s="1049">
        <f t="array" aca="1" ref="BN13" ca="1">SUMPRODUCT(($AE$11:$AE$34=AM13)*$W$11:$W$34*$AB$11:$AB$34)</f>
        <v>505658.4</v>
      </c>
      <c r="BO13" s="1049" cm="1">
        <f t="array" aca="1" ref="BO13" ca="1">SUMPRODUCT($O$11:$O$34*$AB$11:$AB$34*($AE$11:$AE$34=$AM13))</f>
        <v>148200</v>
      </c>
      <c r="BP13" s="1049" cm="1">
        <f t="array" aca="1" ref="BP13" ca="1">SUMPRODUCT($L$11:$L$34*$AB$11:$AB$34*($AE$11:$AE$34=$AM13))</f>
        <v>30</v>
      </c>
      <c r="BQ13" s="1049" cm="1">
        <f t="array" aca="1" ref="BQ13" ca="1">SUMPRODUCT($P$11:$P$34*$AB$11:$AB$34*($AE$11:$AE$34=$AM13))</f>
        <v>0</v>
      </c>
      <c r="BR13" s="1049" cm="1">
        <f t="array" aca="1" ref="BR13" ca="1">SUMPRODUCT($Q$11:$Q$34*$AB$11:$AB$34*($AE$11:$AE$34=$AM13))</f>
        <v>0</v>
      </c>
      <c r="BS13" s="1049" cm="1">
        <f t="array" aca="1" ref="BS13" ca="1">SUMPRODUCT($R$11:$R$34*$AB$11:$AB$34*($AE$11:$AE$34=$AM13))</f>
        <v>0</v>
      </c>
      <c r="BT13" s="1049" cm="1">
        <f t="array" aca="1" ref="BT13" ca="1">SUMPRODUCT($S$11:$S$34*$AB$11:$AB$34*($AE$11:$AE$34=$AM13))</f>
        <v>0</v>
      </c>
      <c r="BU13" s="1049" cm="1">
        <f t="array" aca="1" ref="BU13" ca="1">SUMPRODUCT($T$11:$T$34*$AB$11:$AB$34*($AE$11:$AE$34=$AM13))</f>
        <v>0</v>
      </c>
      <c r="BV13" s="1050">
        <f t="shared" ca="1" si="19"/>
        <v>20592</v>
      </c>
    </row>
    <row r="14" spans="1:74" ht="40.5" customHeight="1">
      <c r="A14" s="106"/>
      <c r="B14" s="95" t="s">
        <v>379</v>
      </c>
      <c r="C14" s="588" t="s">
        <v>380</v>
      </c>
      <c r="D14" s="588" t="s">
        <v>391</v>
      </c>
      <c r="E14" s="588" t="s">
        <v>392</v>
      </c>
      <c r="F14" s="588" t="s">
        <v>388</v>
      </c>
      <c r="G14" s="588" t="s">
        <v>389</v>
      </c>
      <c r="H14" s="588" t="s">
        <v>375</v>
      </c>
      <c r="I14" s="716" t="s">
        <v>376</v>
      </c>
      <c r="J14" s="95" t="s">
        <v>110</v>
      </c>
      <c r="K14" s="1051">
        <v>0.05</v>
      </c>
      <c r="L14" s="421">
        <v>300</v>
      </c>
      <c r="M14" s="320" t="s">
        <v>377</v>
      </c>
      <c r="N14" s="320" t="s">
        <v>378</v>
      </c>
      <c r="O14" s="1038">
        <f>IF(J14="Electricity",K14*'Building Info &amp; Assumptions'!$B$347,0)</f>
        <v>2470000</v>
      </c>
      <c r="P14" s="1038">
        <f>IF(J14="Natural Gas",K14*'Building Info &amp; Assumptions'!$B$348,0)</f>
        <v>0</v>
      </c>
      <c r="Q14" s="1038">
        <f>IF(J14='Building Info &amp; Assumptions'!$A$349,K14*'Building Info &amp; Assumptions'!$B$349,0)</f>
        <v>0</v>
      </c>
      <c r="R14" s="1038">
        <f>IF(J14='Building Info &amp; Assumptions'!$A$350,K14*'Building Info &amp; Assumptions'!$B$350,0)</f>
        <v>0</v>
      </c>
      <c r="S14" s="1038">
        <f>IF(J14='Building Info &amp; Assumptions'!$A$351,K14*'Building Info &amp; Assumptions'!$B$351,0)</f>
        <v>0</v>
      </c>
      <c r="T14" s="1038">
        <f>IF(J14='Building Info &amp; Assumptions'!$A$352,K14*'Building Info &amp; Assumptions'!$B$352,0)</f>
        <v>0</v>
      </c>
      <c r="U14" s="1038">
        <f>IF(J14='Building Info &amp; Assumptions'!$A$353,K14*'Building Info &amp; Assumptions'!$B$353,0)</f>
        <v>0</v>
      </c>
      <c r="V14" s="1038">
        <f>IF(J14='Building Info &amp; Assumptions'!$A$354,K14*'Building Info &amp; Assumptions'!$B$354,0)</f>
        <v>0</v>
      </c>
      <c r="W14" s="1038">
        <f t="shared" si="0"/>
        <v>8427640</v>
      </c>
      <c r="X14" s="1039">
        <f>O14*'Building Info &amp; Assumptions'!$B$89+P14*'Building Info &amp; Assumptions'!$B$90+Q14*'Building Info &amp; Assumptions'!$B$91+R14*'Building Info &amp; Assumptions'!$B$92+S14*'Building Info &amp; Assumptions'!$B$93+T14*'Building Info &amp; Assumptions'!$B$94+U14*'Building Info &amp; Assumptions'!$B$95+V14*'Building Info &amp; Assumptions'!$B$96</f>
        <v>209.18430000000001</v>
      </c>
      <c r="Y14" s="50">
        <v>2008</v>
      </c>
      <c r="Z14" s="232">
        <f>IFERROR(VLOOKUP(C14,'Drop Down Lists'!$AZ$2:$BA$46,2,FALSE),0)</f>
        <v>20</v>
      </c>
      <c r="AA14" s="1040">
        <f>500*400</f>
        <v>200000</v>
      </c>
      <c r="AB14" s="1041">
        <v>0.02</v>
      </c>
      <c r="AC14" s="1042">
        <f t="shared" si="1"/>
        <v>6864</v>
      </c>
      <c r="AD14" s="1043">
        <f>AB14*(O14*'Building Info &amp; Assumptions'!$B$89+P14*'Building Info &amp; Assumptions'!$B$90+Q14*'Building Info &amp; Assumptions'!$B$91+R14*'Building Info &amp; Assumptions'!$B$92+S14*'Building Info &amp; Assumptions'!$B$93+T14*'Building Info &amp; Assumptions'!$B$94+U14*'Building Info &amp; Assumptions'!$B$95+V14*'Building Info &amp; Assumptions'!$B$96)</f>
        <v>4.1836859999999998</v>
      </c>
      <c r="AE14" s="1044" t="str">
        <f t="shared" ca="1" si="2"/>
        <v>1 to 5</v>
      </c>
      <c r="AF14" s="235">
        <f t="shared" ca="1" si="3"/>
        <v>4</v>
      </c>
      <c r="AG14" s="45"/>
      <c r="AH14" s="45"/>
      <c r="AI14" s="739" t="s">
        <v>393</v>
      </c>
      <c r="AJ14" s="738">
        <v>3000000</v>
      </c>
      <c r="AK14" s="738">
        <v>15840</v>
      </c>
      <c r="AL14" s="652"/>
      <c r="AM14" s="1045" t="s">
        <v>394</v>
      </c>
      <c r="AN14" s="1046">
        <f t="shared" ca="1" si="4"/>
        <v>0</v>
      </c>
      <c r="AO14" s="1047">
        <f ca="1">IFERROR(AN14/SUM(AN$11:AN$14),0)</f>
        <v>0</v>
      </c>
      <c r="AP14" s="1046">
        <f t="shared" ca="1" si="5"/>
        <v>0</v>
      </c>
      <c r="AQ14" s="1048">
        <f t="shared" ca="1" si="6"/>
        <v>0</v>
      </c>
      <c r="AR14" s="1046">
        <f t="shared" ca="1" si="7"/>
        <v>0</v>
      </c>
      <c r="AS14" s="1048">
        <f t="shared" ca="1" si="6"/>
        <v>0</v>
      </c>
      <c r="AT14" s="1049">
        <f t="shared" ca="1" si="8"/>
        <v>0</v>
      </c>
      <c r="AU14" s="1048">
        <f t="shared" ca="1" si="9"/>
        <v>0</v>
      </c>
      <c r="AV14" s="1049">
        <f t="shared" ca="1" si="10"/>
        <v>0</v>
      </c>
      <c r="AW14" s="1048">
        <f t="shared" ca="1" si="9"/>
        <v>0</v>
      </c>
      <c r="AX14" s="1046">
        <f t="shared" ca="1" si="11"/>
        <v>0</v>
      </c>
      <c r="AY14" s="1047">
        <f ca="1">IFERROR(AX14/SUM(AX$11:AX$14),0)</f>
        <v>0</v>
      </c>
      <c r="AZ14" s="1046">
        <f t="shared" ca="1" si="12"/>
        <v>0</v>
      </c>
      <c r="BA14" s="1047">
        <f ca="1">IFERROR(AZ14/SUM(AZ$11:AZ$14),0)</f>
        <v>0</v>
      </c>
      <c r="BB14" s="1046">
        <f t="shared" ca="1" si="13"/>
        <v>0</v>
      </c>
      <c r="BC14" s="1047">
        <f ca="1">IFERROR(BB14/SUM(BB$11:BB$14),0)</f>
        <v>0</v>
      </c>
      <c r="BD14" s="1046">
        <f t="shared" ca="1" si="14"/>
        <v>0</v>
      </c>
      <c r="BE14" s="1047">
        <f ca="1">IFERROR(BD14/SUM(BD$11:BD$14),0)</f>
        <v>0</v>
      </c>
      <c r="BF14" s="1046">
        <f t="shared" ca="1" si="15"/>
        <v>0</v>
      </c>
      <c r="BG14" s="1047">
        <f ca="1">IFERROR(BF14/SUM(BF$11:BF$14),0)</f>
        <v>0</v>
      </c>
      <c r="BH14" s="1046">
        <f t="shared" ca="1" si="16"/>
        <v>0</v>
      </c>
      <c r="BI14" s="1047">
        <f ca="1">IFERROR(BH14/SUM(BH$11:BH$14),0)</f>
        <v>0</v>
      </c>
      <c r="BJ14" s="1046">
        <f t="shared" ca="1" si="17"/>
        <v>0</v>
      </c>
      <c r="BK14" s="1047">
        <f ca="1">IFERROR(BJ14/SUM(BJ$11:BJ$14),0)</f>
        <v>0</v>
      </c>
      <c r="BL14" s="1046">
        <f t="shared" ca="1" si="18"/>
        <v>0</v>
      </c>
      <c r="BM14" s="1047">
        <f ca="1">IFERROR(BL14/SUM(BL$11:BL$14),0)</f>
        <v>0</v>
      </c>
      <c r="BN14" s="1049">
        <f t="array" aca="1" ref="BN14" ca="1">SUMPRODUCT(($AE$11:$AE$34=AM14)*$W$11:$W$34*$AB$11:$AB$34)</f>
        <v>0</v>
      </c>
      <c r="BO14" s="1049" cm="1">
        <f t="array" aca="1" ref="BO14" ca="1">SUMPRODUCT($O$11:$O$34*$AB$11:$AB$34*($AE$11:$AE$34=$AM14))</f>
        <v>0</v>
      </c>
      <c r="BP14" s="1049" cm="1">
        <f t="array" aca="1" ref="BP14" ca="1">SUMPRODUCT($L$11:$L$34*$AB$11:$AB$34*($AE$11:$AE$34=$AM14))</f>
        <v>0</v>
      </c>
      <c r="BQ14" s="1049" cm="1">
        <f t="array" aca="1" ref="BQ14" ca="1">SUMPRODUCT($P$11:$P$34*$AB$11:$AB$34*($AE$11:$AE$34=$AM14))</f>
        <v>0</v>
      </c>
      <c r="BR14" s="1049" cm="1">
        <f t="array" aca="1" ref="BR14" ca="1">SUMPRODUCT($Q$11:$Q$34*$AB$11:$AB$34*($AE$11:$AE$34=$AM14))</f>
        <v>0</v>
      </c>
      <c r="BS14" s="1049" cm="1">
        <f t="array" aca="1" ref="BS14" ca="1">SUMPRODUCT($R$11:$R$34*$AB$11:$AB$34*($AE$11:$AE$34=$AM14))</f>
        <v>0</v>
      </c>
      <c r="BT14" s="1049" cm="1">
        <f t="array" aca="1" ref="BT14" ca="1">SUMPRODUCT($S$11:$S$34*$AB$11:$AB$34*($AE$11:$AE$34=$AM14))</f>
        <v>0</v>
      </c>
      <c r="BU14" s="1049" cm="1">
        <f t="array" aca="1" ref="BU14" ca="1">SUMPRODUCT($T$11:$T$34*$AB$11:$AB$34*($AE$11:$AE$34=$AM14))</f>
        <v>0</v>
      </c>
      <c r="BV14" s="1050">
        <f t="shared" ca="1" si="19"/>
        <v>0</v>
      </c>
    </row>
    <row r="15" spans="1:74" s="106" customFormat="1" ht="45.6" customHeight="1">
      <c r="B15" s="95" t="s">
        <v>395</v>
      </c>
      <c r="C15" s="588" t="s">
        <v>396</v>
      </c>
      <c r="D15" s="588" t="s">
        <v>393</v>
      </c>
      <c r="E15" s="588" t="s">
        <v>397</v>
      </c>
      <c r="F15" s="588" t="s">
        <v>398</v>
      </c>
      <c r="G15" s="588" t="s">
        <v>399</v>
      </c>
      <c r="H15" s="588" t="s">
        <v>395</v>
      </c>
      <c r="I15" s="716" t="s">
        <v>400</v>
      </c>
      <c r="J15" s="50" t="s">
        <v>110</v>
      </c>
      <c r="K15" s="1052">
        <v>0.15</v>
      </c>
      <c r="L15" s="421">
        <v>1500</v>
      </c>
      <c r="M15" s="320" t="s">
        <v>401</v>
      </c>
      <c r="N15" s="320" t="s">
        <v>402</v>
      </c>
      <c r="O15" s="1038">
        <f>IF(J15="Electricity",K15*'Building Info &amp; Assumptions'!$B$347,0)</f>
        <v>7410000</v>
      </c>
      <c r="P15" s="1038">
        <f>IF(J15="Natural Gas",K15*'Building Info &amp; Assumptions'!$B$348,0)</f>
        <v>0</v>
      </c>
      <c r="Q15" s="1038">
        <f>IF(J15='Building Info &amp; Assumptions'!$A$349,K15*'Building Info &amp; Assumptions'!$B$349,0)</f>
        <v>0</v>
      </c>
      <c r="R15" s="1038">
        <f>IF(J15='Building Info &amp; Assumptions'!$A$350,K15*'Building Info &amp; Assumptions'!$B$350,0)</f>
        <v>0</v>
      </c>
      <c r="S15" s="1038">
        <f>IF(J15='Building Info &amp; Assumptions'!$A$351,K15*'Building Info &amp; Assumptions'!$B$351,0)</f>
        <v>0</v>
      </c>
      <c r="T15" s="1038">
        <f>IF(J15='Building Info &amp; Assumptions'!$A$352,K15*'Building Info &amp; Assumptions'!$B$352,0)</f>
        <v>0</v>
      </c>
      <c r="U15" s="1038">
        <f>IF(J15='Building Info &amp; Assumptions'!$A$353,K15*'Building Info &amp; Assumptions'!$B$353,0)</f>
        <v>0</v>
      </c>
      <c r="V15" s="1038">
        <f>IF(J15='Building Info &amp; Assumptions'!$A$354,K15*'Building Info &amp; Assumptions'!$B$354,0)</f>
        <v>0</v>
      </c>
      <c r="W15" s="1038">
        <f t="shared" si="0"/>
        <v>25282920</v>
      </c>
      <c r="X15" s="1039">
        <f>O15*'Building Info &amp; Assumptions'!$B$89+P15*'Building Info &amp; Assumptions'!$B$90+Q15*'Building Info &amp; Assumptions'!$B$91+R15*'Building Info &amp; Assumptions'!$B$92+S15*'Building Info &amp; Assumptions'!$B$93+T15*'Building Info &amp; Assumptions'!$B$94+U15*'Building Info &amp; Assumptions'!$B$95+V15*'Building Info &amp; Assumptions'!$B$96</f>
        <v>627.55290000000002</v>
      </c>
      <c r="Y15" s="50">
        <v>2010</v>
      </c>
      <c r="Z15" s="232">
        <f>IFERROR(VLOOKUP(C15,'Drop Down Lists'!$AZ$2:$BA$46,2,FALSE),0)</f>
        <v>24</v>
      </c>
      <c r="AA15" s="1040">
        <f>50000*60</f>
        <v>3000000</v>
      </c>
      <c r="AB15" s="1041">
        <v>0.02</v>
      </c>
      <c r="AC15" s="1042">
        <f t="shared" si="1"/>
        <v>20592</v>
      </c>
      <c r="AD15" s="1043">
        <f>AB15*(O15*'Building Info &amp; Assumptions'!$B$89+P15*'Building Info &amp; Assumptions'!$B$90+Q15*'Building Info &amp; Assumptions'!$B$91+R15*'Building Info &amp; Assumptions'!$B$92+S15*'Building Info &amp; Assumptions'!$B$93+T15*'Building Info &amp; Assumptions'!$B$94+U15*'Building Info &amp; Assumptions'!$B$95+V15*'Building Info &amp; Assumptions'!$B$96)</f>
        <v>12.551058000000001</v>
      </c>
      <c r="AE15" s="1044" t="str">
        <f ca="1">IF(AF15&lt;6,"1 to 5",IF(AND(AF15&gt;5,AF15&lt;=9),"6 to 10",IF(AND(AF15&gt;9,AF15&lt;=14),"11 to 15","16+")))</f>
        <v>11 to 15</v>
      </c>
      <c r="AF15" s="235">
        <f ca="1">Z15-(YEAR(TODAY())-Y15)</f>
        <v>10</v>
      </c>
      <c r="AG15" s="45"/>
      <c r="AH15" s="45"/>
      <c r="AI15" s="739" t="s">
        <v>403</v>
      </c>
      <c r="AJ15" s="738">
        <v>300000</v>
      </c>
      <c r="AK15" s="738">
        <v>5280</v>
      </c>
      <c r="AL15" s="652"/>
      <c r="AM15" s="658"/>
      <c r="AN15" s="659"/>
      <c r="AO15" s="660"/>
      <c r="AP15" s="659"/>
      <c r="AQ15" s="659"/>
      <c r="AR15" s="659"/>
      <c r="AS15" s="659"/>
      <c r="AT15" s="659"/>
      <c r="AU15" s="659"/>
      <c r="AV15" s="659"/>
      <c r="AW15" s="659"/>
      <c r="AX15" s="652"/>
      <c r="AY15" s="653"/>
      <c r="AZ15" s="653"/>
      <c r="BA15" s="653"/>
      <c r="BB15" s="653"/>
      <c r="BC15" s="653"/>
      <c r="BD15" s="653"/>
      <c r="BE15" s="653"/>
      <c r="BF15" s="653"/>
      <c r="BG15" s="653"/>
      <c r="BH15" s="653"/>
      <c r="BI15" s="653"/>
      <c r="BJ15" s="653"/>
      <c r="BK15" s="653"/>
      <c r="BL15" s="653"/>
      <c r="BM15" s="653"/>
      <c r="BN15" s="653"/>
      <c r="BO15" s="653"/>
      <c r="BP15" s="653"/>
      <c r="BQ15" s="653"/>
      <c r="BR15" s="653"/>
      <c r="BS15" s="653"/>
      <c r="BT15" s="653"/>
      <c r="BU15" s="653"/>
      <c r="BV15" s="653"/>
    </row>
    <row r="16" spans="1:74" s="106" customFormat="1" ht="40.5" customHeight="1">
      <c r="B16" s="95" t="s">
        <v>404</v>
      </c>
      <c r="C16" s="588"/>
      <c r="D16" s="588" t="s">
        <v>231</v>
      </c>
      <c r="E16" s="588" t="s">
        <v>405</v>
      </c>
      <c r="F16" s="588" t="s">
        <v>398</v>
      </c>
      <c r="G16" s="588" t="s">
        <v>399</v>
      </c>
      <c r="H16" s="588" t="s">
        <v>406</v>
      </c>
      <c r="I16" s="716" t="s">
        <v>400</v>
      </c>
      <c r="J16" s="50" t="s">
        <v>110</v>
      </c>
      <c r="K16" s="1052">
        <v>0.1</v>
      </c>
      <c r="L16" s="421">
        <v>2000</v>
      </c>
      <c r="M16" s="320" t="s">
        <v>401</v>
      </c>
      <c r="N16" s="320" t="s">
        <v>402</v>
      </c>
      <c r="O16" s="1038">
        <f>IF(J16="Electricity",K16*'Building Info &amp; Assumptions'!$B$347,0)</f>
        <v>4940000</v>
      </c>
      <c r="P16" s="1038">
        <f>IF(J16="Natural Gas",K16*'Building Info &amp; Assumptions'!$B$348,0)</f>
        <v>0</v>
      </c>
      <c r="Q16" s="1038">
        <f>IF(J16='Building Info &amp; Assumptions'!$A$349,K16*'Building Info &amp; Assumptions'!$B$349,0)</f>
        <v>0</v>
      </c>
      <c r="R16" s="1038">
        <f>IF(J16='Building Info &amp; Assumptions'!$A$350,K16*'Building Info &amp; Assumptions'!$B$350,0)</f>
        <v>0</v>
      </c>
      <c r="S16" s="1038">
        <f>IF(J16='Building Info &amp; Assumptions'!$A$351,K16*'Building Info &amp; Assumptions'!$B$351,0)</f>
        <v>0</v>
      </c>
      <c r="T16" s="1038">
        <f>IF(J16='Building Info &amp; Assumptions'!$A$352,K16*'Building Info &amp; Assumptions'!$B$352,0)</f>
        <v>0</v>
      </c>
      <c r="U16" s="1038">
        <f>IF(J16='Building Info &amp; Assumptions'!$A$353,K16*'Building Info &amp; Assumptions'!$B$353,0)</f>
        <v>0</v>
      </c>
      <c r="V16" s="1038">
        <f>IF(J16='Building Info &amp; Assumptions'!$A$354,K16*'Building Info &amp; Assumptions'!$B$354,0)</f>
        <v>0</v>
      </c>
      <c r="W16" s="1038">
        <f t="shared" si="0"/>
        <v>16855280</v>
      </c>
      <c r="X16" s="1039">
        <f>O16*'Building Info &amp; Assumptions'!$B$89+P16*'Building Info &amp; Assumptions'!$B$90+Q16*'Building Info &amp; Assumptions'!$B$91+R16*'Building Info &amp; Assumptions'!$B$92+S16*'Building Info &amp; Assumptions'!$B$93+T16*'Building Info &amp; Assumptions'!$B$94+U16*'Building Info &amp; Assumptions'!$B$95+V16*'Building Info &amp; Assumptions'!$B$96</f>
        <v>418.36860000000001</v>
      </c>
      <c r="Y16" s="50">
        <v>2018</v>
      </c>
      <c r="Z16" s="232">
        <f>IFERROR(VLOOKUP(C16,'Drop Down Lists'!$AZ$2:$BA$46,2,FALSE),0)</f>
        <v>0</v>
      </c>
      <c r="AA16" s="1040">
        <f>60*100000</f>
        <v>6000000</v>
      </c>
      <c r="AB16" s="1041">
        <v>0.02</v>
      </c>
      <c r="AC16" s="1042">
        <f>(O16*Rate_ElecBlended+P16*Rate_NatGas+Q16*Rate_Steam+R16*rate_util4+S16*Rate_Util5+T16*Rate_util6+U16*rate_Util7+V16*rate_Util8)*AB16</f>
        <v>13728</v>
      </c>
      <c r="AD16" s="1043">
        <f>AB16*(O16*'Building Info &amp; Assumptions'!$B$89+P16*'Building Info &amp; Assumptions'!$B$90+Q16*'Building Info &amp; Assumptions'!$B$91+R16*'Building Info &amp; Assumptions'!$B$92+S16*'Building Info &amp; Assumptions'!$B$93+T16*'Building Info &amp; Assumptions'!$B$94+U16*'Building Info &amp; Assumptions'!$B$95+V16*'Building Info &amp; Assumptions'!$B$96)</f>
        <v>8.3673719999999996</v>
      </c>
      <c r="AE16" s="1044" t="str">
        <f ca="1">IF(AF16&lt;6,"1 to 5",IF(AND(AF16&gt;5,AF16&lt;=9),"6 to 10",IF(AND(AF16&gt;9,AF16&lt;=14),"11 to 15","16+")))</f>
        <v>1 to 5</v>
      </c>
      <c r="AF16" s="235">
        <f ca="1">Z16-(YEAR(TODAY())-Y16)</f>
        <v>-6</v>
      </c>
      <c r="AG16" s="45"/>
      <c r="AH16" s="45"/>
      <c r="AI16" s="739" t="s">
        <v>371</v>
      </c>
      <c r="AJ16" s="738">
        <v>3000000</v>
      </c>
      <c r="AK16" s="738">
        <v>52800</v>
      </c>
      <c r="AL16" s="652"/>
      <c r="AM16" s="652"/>
      <c r="AN16" s="652"/>
      <c r="AO16" s="652"/>
      <c r="AP16" s="652"/>
      <c r="AQ16" s="652"/>
      <c r="AR16" s="652"/>
      <c r="AS16" s="652"/>
      <c r="AT16" s="652"/>
      <c r="AU16" s="652"/>
      <c r="AV16" s="652"/>
      <c r="AW16" s="652"/>
      <c r="AX16" s="652"/>
      <c r="AY16" s="652"/>
      <c r="AZ16" s="652"/>
      <c r="BA16" s="652"/>
      <c r="BB16" s="652"/>
      <c r="BC16" s="652"/>
      <c r="BD16" s="652"/>
      <c r="BE16" s="652"/>
      <c r="BF16" s="652"/>
      <c r="BG16" s="652"/>
      <c r="BH16" s="652"/>
      <c r="BI16" s="652"/>
      <c r="BJ16" s="652"/>
      <c r="BK16" s="652"/>
      <c r="BL16" s="652"/>
      <c r="BM16" s="652"/>
      <c r="BN16" s="653"/>
      <c r="BO16" s="653"/>
      <c r="BP16" s="653"/>
      <c r="BQ16" s="653"/>
      <c r="BR16" s="653"/>
      <c r="BS16" s="653"/>
      <c r="BT16" s="653"/>
      <c r="BU16" s="653"/>
      <c r="BV16" s="653"/>
    </row>
    <row r="17" spans="2:74" s="106" customFormat="1" ht="40.5" customHeight="1">
      <c r="B17" s="95" t="s">
        <v>407</v>
      </c>
      <c r="C17" s="588"/>
      <c r="D17" s="588" t="s">
        <v>231</v>
      </c>
      <c r="E17" s="588" t="s">
        <v>408</v>
      </c>
      <c r="F17" s="588" t="s">
        <v>398</v>
      </c>
      <c r="G17" s="588" t="s">
        <v>399</v>
      </c>
      <c r="H17" s="588" t="s">
        <v>409</v>
      </c>
      <c r="I17" s="716" t="s">
        <v>400</v>
      </c>
      <c r="J17" s="50" t="s">
        <v>110</v>
      </c>
      <c r="K17" s="1052">
        <v>0.15</v>
      </c>
      <c r="L17" s="421">
        <v>3000</v>
      </c>
      <c r="M17" s="320" t="s">
        <v>401</v>
      </c>
      <c r="N17" s="320" t="s">
        <v>402</v>
      </c>
      <c r="O17" s="1038">
        <f>IF(J17="Electricity",K17*'Building Info &amp; Assumptions'!$B$347,0)</f>
        <v>7410000</v>
      </c>
      <c r="P17" s="1038">
        <f>IF(J17="Natural Gas",K17*'Building Info &amp; Assumptions'!$B$348,0)</f>
        <v>0</v>
      </c>
      <c r="Q17" s="1038">
        <f>IF(J17='Building Info &amp; Assumptions'!$A$349,K17*'Building Info &amp; Assumptions'!$B$349,0)</f>
        <v>0</v>
      </c>
      <c r="R17" s="1038">
        <f>IF(J17='Building Info &amp; Assumptions'!$A$350,K17*'Building Info &amp; Assumptions'!$B$350,0)</f>
        <v>0</v>
      </c>
      <c r="S17" s="1038">
        <f>IF(J17='Building Info &amp; Assumptions'!$A$351,K17*'Building Info &amp; Assumptions'!$B$351,0)</f>
        <v>0</v>
      </c>
      <c r="T17" s="1038">
        <f>IF(J17='Building Info &amp; Assumptions'!$A$352,K17*'Building Info &amp; Assumptions'!$B$352,0)</f>
        <v>0</v>
      </c>
      <c r="U17" s="1038">
        <f>IF(J17='Building Info &amp; Assumptions'!$A$353,K17*'Building Info &amp; Assumptions'!$B$353,0)</f>
        <v>0</v>
      </c>
      <c r="V17" s="1038">
        <f>IF(J17='Building Info &amp; Assumptions'!$A$354,K17*'Building Info &amp; Assumptions'!$B$354,0)</f>
        <v>0</v>
      </c>
      <c r="W17" s="1038">
        <f t="shared" si="0"/>
        <v>25282920</v>
      </c>
      <c r="X17" s="1039">
        <f>O17*'Building Info &amp; Assumptions'!$B$89+P17*'Building Info &amp; Assumptions'!$B$90+Q17*'Building Info &amp; Assumptions'!$B$91+R17*'Building Info &amp; Assumptions'!$B$92+S17*'Building Info &amp; Assumptions'!$B$93+T17*'Building Info &amp; Assumptions'!$B$94+U17*'Building Info &amp; Assumptions'!$B$95+V17*'Building Info &amp; Assumptions'!$B$96</f>
        <v>627.55290000000002</v>
      </c>
      <c r="Y17" s="50">
        <v>2020</v>
      </c>
      <c r="Z17" s="232">
        <f>IFERROR(VLOOKUP(C17,'Drop Down Lists'!$AZ$2:$BA$46,2,FALSE),0)</f>
        <v>0</v>
      </c>
      <c r="AA17" s="1040">
        <v>0</v>
      </c>
      <c r="AB17" s="1041">
        <v>0</v>
      </c>
      <c r="AC17" s="1042">
        <f t="shared" si="1"/>
        <v>0</v>
      </c>
      <c r="AD17" s="1043">
        <f>AB17*(O17*'Building Info &amp; Assumptions'!$B$89+P17*'Building Info &amp; Assumptions'!$B$90+Q17*'Building Info &amp; Assumptions'!$B$91+R17*'Building Info &amp; Assumptions'!$B$92+S17*'Building Info &amp; Assumptions'!$B$93+T17*'Building Info &amp; Assumptions'!$B$94+U17*'Building Info &amp; Assumptions'!$B$95+V17*'Building Info &amp; Assumptions'!$B$96)</f>
        <v>0</v>
      </c>
      <c r="AE17" s="1044" t="str">
        <f ca="1">IF(AF17&lt;6,"1 to 5",IF(AND(AF17&gt;5,AF17&lt;=9),"6 to 10",IF(AND(AF17&gt;9,AF17&lt;=14),"11 to 15","16+")))</f>
        <v>1 to 5</v>
      </c>
      <c r="AF17" s="235">
        <f ca="1">Z17-(YEAR(TODAY())-Y17)</f>
        <v>-4</v>
      </c>
      <c r="AG17" s="45"/>
      <c r="AH17" s="45"/>
      <c r="AI17" s="610" t="s">
        <v>384</v>
      </c>
      <c r="AJ17" s="738">
        <v>2900000</v>
      </c>
      <c r="AK17" s="738">
        <v>10560</v>
      </c>
      <c r="AL17" s="652"/>
      <c r="AM17" s="652"/>
      <c r="AN17" s="652"/>
      <c r="AO17" s="652"/>
      <c r="AP17" s="652"/>
      <c r="AQ17" s="652"/>
      <c r="AR17" s="652"/>
      <c r="AS17" s="652"/>
      <c r="AT17" s="652"/>
      <c r="AU17" s="652"/>
      <c r="AV17" s="652"/>
      <c r="AW17" s="652"/>
      <c r="AX17" s="652"/>
      <c r="AY17" s="652"/>
      <c r="AZ17" s="652"/>
      <c r="BA17" s="652"/>
      <c r="BB17" s="652"/>
      <c r="BC17" s="652"/>
      <c r="BD17" s="652"/>
      <c r="BE17" s="652"/>
      <c r="BF17" s="652"/>
      <c r="BG17" s="652"/>
      <c r="BH17" s="652"/>
      <c r="BI17" s="652"/>
      <c r="BJ17" s="652"/>
      <c r="BK17" s="652"/>
      <c r="BL17" s="652"/>
      <c r="BM17" s="652"/>
      <c r="BN17" s="653"/>
      <c r="BO17" s="653"/>
      <c r="BP17" s="653"/>
      <c r="BQ17" s="653"/>
      <c r="BR17" s="653"/>
      <c r="BS17" s="653"/>
      <c r="BT17" s="653"/>
      <c r="BU17" s="653"/>
      <c r="BV17" s="653"/>
    </row>
    <row r="18" spans="2:74" s="106" customFormat="1" ht="51" customHeight="1">
      <c r="B18" s="95" t="s">
        <v>410</v>
      </c>
      <c r="C18" s="588" t="s">
        <v>411</v>
      </c>
      <c r="D18" s="588" t="s">
        <v>412</v>
      </c>
      <c r="E18" s="588" t="s">
        <v>413</v>
      </c>
      <c r="F18" s="588" t="s">
        <v>398</v>
      </c>
      <c r="G18" s="588" t="s">
        <v>414</v>
      </c>
      <c r="H18" s="588" t="s">
        <v>415</v>
      </c>
      <c r="I18" s="716" t="s">
        <v>400</v>
      </c>
      <c r="J18" s="50" t="s">
        <v>110</v>
      </c>
      <c r="K18" s="1052">
        <v>0.1</v>
      </c>
      <c r="L18" s="320">
        <v>2000</v>
      </c>
      <c r="M18" s="321" t="s">
        <v>416</v>
      </c>
      <c r="N18" s="321" t="s">
        <v>417</v>
      </c>
      <c r="O18" s="1038">
        <f>IF(J18="Electricity",K18*'Building Info &amp; Assumptions'!$B$347,0)</f>
        <v>4940000</v>
      </c>
      <c r="P18" s="1038">
        <f>IF(J18="Natural Gas",K18*'Building Info &amp; Assumptions'!$B$348,0)</f>
        <v>0</v>
      </c>
      <c r="Q18" s="1038">
        <f>IF(J18='Building Info &amp; Assumptions'!$A$349,K18*'Building Info &amp; Assumptions'!$B$349,0)</f>
        <v>0</v>
      </c>
      <c r="R18" s="1038">
        <f>IF(J18='Building Info &amp; Assumptions'!$A$350,K18*'Building Info &amp; Assumptions'!$B$350,0)</f>
        <v>0</v>
      </c>
      <c r="S18" s="1038">
        <f>IF(J18='Building Info &amp; Assumptions'!$A$351,K18*'Building Info &amp; Assumptions'!$B$351,0)</f>
        <v>0</v>
      </c>
      <c r="T18" s="1038">
        <f>IF(J18='Building Info &amp; Assumptions'!$A$352,K18*'Building Info &amp; Assumptions'!$B$352,0)</f>
        <v>0</v>
      </c>
      <c r="U18" s="1038">
        <f>IF(J18='Building Info &amp; Assumptions'!$A$353,K18*'Building Info &amp; Assumptions'!$B$353,0)</f>
        <v>0</v>
      </c>
      <c r="V18" s="1038">
        <f>IF(J18='Building Info &amp; Assumptions'!$A$354,K18*'Building Info &amp; Assumptions'!$B$354,0)</f>
        <v>0</v>
      </c>
      <c r="W18" s="1038">
        <f t="shared" si="0"/>
        <v>16855280</v>
      </c>
      <c r="X18" s="1039">
        <f>O18*'Building Info &amp; Assumptions'!$B$89+P18*'Building Info &amp; Assumptions'!$B$90+Q18*'Building Info &amp; Assumptions'!$B$91+R18*'Building Info &amp; Assumptions'!$B$92+S18*'Building Info &amp; Assumptions'!$B$93+T18*'Building Info &amp; Assumptions'!$B$94+U18*'Building Info &amp; Assumptions'!$B$95+V18*'Building Info &amp; Assumptions'!$B$96</f>
        <v>418.36860000000001</v>
      </c>
      <c r="Y18" s="50">
        <v>2015</v>
      </c>
      <c r="Z18" s="232">
        <f>IFERROR(VLOOKUP(C18,'Drop Down Lists'!$AZ$2:$BA$46,2,FALSE),0)</f>
        <v>15</v>
      </c>
      <c r="AA18" s="1040">
        <f>15000*60</f>
        <v>900000</v>
      </c>
      <c r="AB18" s="1041">
        <v>0</v>
      </c>
      <c r="AC18" s="1042">
        <f t="shared" si="1"/>
        <v>0</v>
      </c>
      <c r="AD18" s="1043">
        <f>AB18*(O18*'Building Info &amp; Assumptions'!$B$89+P18*'Building Info &amp; Assumptions'!$B$90+Q18*'Building Info &amp; Assumptions'!$B$91+R18*'Building Info &amp; Assumptions'!$B$92+S18*'Building Info &amp; Assumptions'!$B$93+T18*'Building Info &amp; Assumptions'!$B$94+U18*'Building Info &amp; Assumptions'!$B$95+V18*'Building Info &amp; Assumptions'!$B$96)</f>
        <v>0</v>
      </c>
      <c r="AE18" s="1044" t="str">
        <f t="shared" ca="1" si="2"/>
        <v>6 to 10</v>
      </c>
      <c r="AF18" s="235">
        <f t="shared" ca="1" si="3"/>
        <v>6</v>
      </c>
      <c r="AG18" s="45"/>
      <c r="AH18" s="45"/>
      <c r="AI18" s="739" t="s">
        <v>381</v>
      </c>
      <c r="AJ18" s="738">
        <v>300000</v>
      </c>
      <c r="AK18" s="738">
        <v>5280</v>
      </c>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2"/>
      <c r="BM18" s="652"/>
      <c r="BN18" s="653"/>
      <c r="BO18" s="653"/>
      <c r="BP18" s="653"/>
      <c r="BQ18" s="653"/>
      <c r="BR18" s="653"/>
      <c r="BS18" s="653"/>
      <c r="BT18" s="653"/>
      <c r="BU18" s="653"/>
      <c r="BV18" s="653"/>
    </row>
    <row r="19" spans="2:74" s="106" customFormat="1" ht="40.5" customHeight="1">
      <c r="B19" s="95" t="s">
        <v>379</v>
      </c>
      <c r="C19" s="588" t="s">
        <v>418</v>
      </c>
      <c r="D19" s="588" t="s">
        <v>322</v>
      </c>
      <c r="E19" s="588" t="s">
        <v>419</v>
      </c>
      <c r="F19" s="588" t="s">
        <v>373</v>
      </c>
      <c r="G19" s="588" t="s">
        <v>374</v>
      </c>
      <c r="H19" s="588" t="s">
        <v>415</v>
      </c>
      <c r="I19" s="716" t="s">
        <v>376</v>
      </c>
      <c r="J19" s="50" t="s">
        <v>110</v>
      </c>
      <c r="K19" s="1052">
        <v>0.05</v>
      </c>
      <c r="L19" s="421">
        <v>300</v>
      </c>
      <c r="M19" s="321" t="s">
        <v>416</v>
      </c>
      <c r="N19" s="321" t="s">
        <v>417</v>
      </c>
      <c r="O19" s="1038">
        <f>IF(J19="Electricity",K19*'Building Info &amp; Assumptions'!$B$347,0)</f>
        <v>2470000</v>
      </c>
      <c r="P19" s="1038">
        <f>IF(J19="Natural Gas",K19*'Building Info &amp; Assumptions'!$B$348,0)</f>
        <v>0</v>
      </c>
      <c r="Q19" s="1038">
        <f>IF(J19='Building Info &amp; Assumptions'!$A$349,K19*'Building Info &amp; Assumptions'!$B$349,0)</f>
        <v>0</v>
      </c>
      <c r="R19" s="1038">
        <f>IF(J19='Building Info &amp; Assumptions'!$A$350,K19*'Building Info &amp; Assumptions'!$B$350,0)</f>
        <v>0</v>
      </c>
      <c r="S19" s="1038">
        <f>IF(J19='Building Info &amp; Assumptions'!$A$351,K19*'Building Info &amp; Assumptions'!$B$351,0)</f>
        <v>0</v>
      </c>
      <c r="T19" s="1038">
        <f>IF(J19='Building Info &amp; Assumptions'!$A$352,K19*'Building Info &amp; Assumptions'!$B$352,0)</f>
        <v>0</v>
      </c>
      <c r="U19" s="1038">
        <f>IF(J19='Building Info &amp; Assumptions'!$A$353,K19*'Building Info &amp; Assumptions'!$B$353,0)</f>
        <v>0</v>
      </c>
      <c r="V19" s="1038">
        <f>IF(J19='Building Info &amp; Assumptions'!$A$354,K19*'Building Info &amp; Assumptions'!$B$354,0)</f>
        <v>0</v>
      </c>
      <c r="W19" s="1038">
        <f t="shared" si="0"/>
        <v>8427640</v>
      </c>
      <c r="X19" s="1039">
        <f>O19*'Building Info &amp; Assumptions'!$B$89+P19*'Building Info &amp; Assumptions'!$B$90+Q19*'Building Info &amp; Assumptions'!$B$91+R19*'Building Info &amp; Assumptions'!$B$92+S19*'Building Info &amp; Assumptions'!$B$93+T19*'Building Info &amp; Assumptions'!$B$94+U19*'Building Info &amp; Assumptions'!$B$95+V19*'Building Info &amp; Assumptions'!$B$96</f>
        <v>209.18430000000001</v>
      </c>
      <c r="Y19" s="50">
        <v>2010</v>
      </c>
      <c r="Z19" s="232">
        <f>IFERROR(VLOOKUP(C19,'Drop Down Lists'!$AZ$2:$BA$46,2,FALSE),0)</f>
        <v>10</v>
      </c>
      <c r="AA19" s="1040">
        <f>500*400</f>
        <v>200000</v>
      </c>
      <c r="AB19" s="1041">
        <v>0.02</v>
      </c>
      <c r="AC19" s="1042">
        <f t="shared" si="1"/>
        <v>6864</v>
      </c>
      <c r="AD19" s="1043">
        <f>AB19*(O19*'Building Info &amp; Assumptions'!$B$89+P19*'Building Info &amp; Assumptions'!$B$90+Q19*'Building Info &amp; Assumptions'!$B$91+R19*'Building Info &amp; Assumptions'!$B$92+S19*'Building Info &amp; Assumptions'!$B$93+T19*'Building Info &amp; Assumptions'!$B$94+U19*'Building Info &amp; Assumptions'!$B$95+V19*'Building Info &amp; Assumptions'!$B$96)</f>
        <v>4.1836859999999998</v>
      </c>
      <c r="AE19" s="1044" t="str">
        <f t="shared" ca="1" si="2"/>
        <v>1 to 5</v>
      </c>
      <c r="AF19" s="235">
        <f t="shared" ca="1" si="3"/>
        <v>-4</v>
      </c>
      <c r="AG19" s="45"/>
      <c r="AH19" s="45"/>
      <c r="AI19" s="739" t="s">
        <v>386</v>
      </c>
      <c r="AJ19" s="738">
        <v>1500000</v>
      </c>
      <c r="AK19" s="738">
        <v>0</v>
      </c>
      <c r="AL19" s="652"/>
      <c r="AM19" s="652"/>
      <c r="AN19" s="652"/>
      <c r="AO19" s="652"/>
      <c r="AP19" s="652"/>
      <c r="AQ19" s="652"/>
      <c r="AR19" s="652"/>
      <c r="AS19" s="652"/>
      <c r="AT19" s="652"/>
      <c r="AU19" s="652"/>
      <c r="AV19" s="652"/>
      <c r="AW19" s="652"/>
      <c r="AX19" s="652"/>
      <c r="AY19" s="652"/>
      <c r="AZ19" s="652"/>
      <c r="BA19" s="652"/>
      <c r="BB19" s="652"/>
      <c r="BC19" s="652"/>
      <c r="BD19" s="652"/>
      <c r="BE19" s="652"/>
      <c r="BF19" s="652"/>
      <c r="BG19" s="652"/>
      <c r="BH19" s="652"/>
      <c r="BI19" s="652"/>
      <c r="BJ19" s="652"/>
      <c r="BK19" s="652"/>
      <c r="BL19" s="652"/>
      <c r="BM19" s="652"/>
      <c r="BN19" s="653"/>
      <c r="BO19" s="653"/>
      <c r="BP19" s="653"/>
      <c r="BQ19" s="653"/>
      <c r="BR19" s="653"/>
      <c r="BS19" s="653"/>
      <c r="BT19" s="653"/>
      <c r="BU19" s="653"/>
      <c r="BV19" s="653"/>
    </row>
    <row r="20" spans="2:74" s="106" customFormat="1" ht="40.5" customHeight="1">
      <c r="B20" s="95" t="s">
        <v>379</v>
      </c>
      <c r="C20" s="588" t="s">
        <v>418</v>
      </c>
      <c r="D20" s="588" t="s">
        <v>331</v>
      </c>
      <c r="E20" s="588" t="s">
        <v>420</v>
      </c>
      <c r="F20" s="588" t="s">
        <v>398</v>
      </c>
      <c r="G20" s="588" t="s">
        <v>399</v>
      </c>
      <c r="H20" s="588" t="s">
        <v>421</v>
      </c>
      <c r="I20" s="716" t="s">
        <v>376</v>
      </c>
      <c r="J20" s="50" t="s">
        <v>110</v>
      </c>
      <c r="K20" s="1051">
        <v>0.05</v>
      </c>
      <c r="L20" s="422">
        <v>200</v>
      </c>
      <c r="M20" s="321" t="s">
        <v>416</v>
      </c>
      <c r="N20" s="321" t="s">
        <v>402</v>
      </c>
      <c r="O20" s="1038">
        <f>IF(J20="Electricity",K20*'Building Info &amp; Assumptions'!$B$347,0)</f>
        <v>2470000</v>
      </c>
      <c r="P20" s="1038">
        <f>IF(J20="Natural Gas",K20*'Building Info &amp; Assumptions'!$B$348,0)</f>
        <v>0</v>
      </c>
      <c r="Q20" s="1038">
        <f>IF(J20='Building Info &amp; Assumptions'!$A$349,K20*'Building Info &amp; Assumptions'!$B$349,0)</f>
        <v>0</v>
      </c>
      <c r="R20" s="1038">
        <f>IF(J20='Building Info &amp; Assumptions'!$A$350,K20*'Building Info &amp; Assumptions'!$B$350,0)</f>
        <v>0</v>
      </c>
      <c r="S20" s="1038">
        <f>IF(J20='Building Info &amp; Assumptions'!$A$351,K20*'Building Info &amp; Assumptions'!$B$351,0)</f>
        <v>0</v>
      </c>
      <c r="T20" s="1038">
        <f>IF(J20='Building Info &amp; Assumptions'!$A$352,K20*'Building Info &amp; Assumptions'!$B$352,0)</f>
        <v>0</v>
      </c>
      <c r="U20" s="1038">
        <f>IF(J20='Building Info &amp; Assumptions'!$A$353,K20*'Building Info &amp; Assumptions'!$B$353,0)</f>
        <v>0</v>
      </c>
      <c r="V20" s="1038">
        <f>IF(J20='Building Info &amp; Assumptions'!$A$354,K20*'Building Info &amp; Assumptions'!$B$354,0)</f>
        <v>0</v>
      </c>
      <c r="W20" s="1038">
        <f t="shared" si="0"/>
        <v>8427640</v>
      </c>
      <c r="X20" s="1039">
        <f>O20*'Building Info &amp; Assumptions'!$B$89+P20*'Building Info &amp; Assumptions'!$B$90+Q20*'Building Info &amp; Assumptions'!$B$91+R20*'Building Info &amp; Assumptions'!$B$92+S20*'Building Info &amp; Assumptions'!$B$93+T20*'Building Info &amp; Assumptions'!$B$94+U20*'Building Info &amp; Assumptions'!$B$95+V20*'Building Info &amp; Assumptions'!$B$96</f>
        <v>209.18430000000001</v>
      </c>
      <c r="Y20" s="50">
        <v>2010</v>
      </c>
      <c r="Z20" s="232">
        <f>IFERROR(VLOOKUP(C20,'Drop Down Lists'!$AZ$2:$BA$46,2,FALSE),0)</f>
        <v>10</v>
      </c>
      <c r="AA20" s="1040">
        <f>500*300</f>
        <v>150000</v>
      </c>
      <c r="AB20" s="1041">
        <v>0.02</v>
      </c>
      <c r="AC20" s="1042">
        <f t="shared" si="1"/>
        <v>6864</v>
      </c>
      <c r="AD20" s="1043">
        <f>AB20*(O20*'Building Info &amp; Assumptions'!$B$89+P20*'Building Info &amp; Assumptions'!$B$90+Q20*'Building Info &amp; Assumptions'!$B$91+R20*'Building Info &amp; Assumptions'!$B$92+S20*'Building Info &amp; Assumptions'!$B$93+T20*'Building Info &amp; Assumptions'!$B$94+U20*'Building Info &amp; Assumptions'!$B$95+V20*'Building Info &amp; Assumptions'!$B$96)</f>
        <v>4.1836859999999998</v>
      </c>
      <c r="AE20" s="1044" t="str">
        <f t="shared" ca="1" si="2"/>
        <v>1 to 5</v>
      </c>
      <c r="AF20" s="235">
        <f t="shared" ca="1" si="3"/>
        <v>-4</v>
      </c>
      <c r="AG20" s="45"/>
      <c r="AH20" s="45"/>
      <c r="AI20" s="739" t="s">
        <v>391</v>
      </c>
      <c r="AJ20" s="738">
        <v>200000</v>
      </c>
      <c r="AK20" s="738">
        <v>5280</v>
      </c>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spans="2:74" ht="40.5" customHeight="1">
      <c r="B21" s="95" t="s">
        <v>410</v>
      </c>
      <c r="C21" s="588" t="s">
        <v>422</v>
      </c>
      <c r="D21" s="588" t="s">
        <v>354</v>
      </c>
      <c r="E21" s="588" t="s">
        <v>423</v>
      </c>
      <c r="F21" s="588" t="s">
        <v>373</v>
      </c>
      <c r="G21" s="588" t="s">
        <v>374</v>
      </c>
      <c r="H21" s="588" t="s">
        <v>424</v>
      </c>
      <c r="I21" s="716" t="s">
        <v>376</v>
      </c>
      <c r="J21" s="50" t="s">
        <v>220</v>
      </c>
      <c r="K21" s="734">
        <v>1</v>
      </c>
      <c r="L21" s="321">
        <v>0</v>
      </c>
      <c r="M21" s="321" t="s">
        <v>416</v>
      </c>
      <c r="N21" s="321" t="s">
        <v>417</v>
      </c>
      <c r="O21" s="1038">
        <f>IF(J21="Electricity",K21*'Building Info &amp; Assumptions'!$B$347,0)</f>
        <v>0</v>
      </c>
      <c r="P21" s="1038">
        <f>IF(J21="Natural Gas",K21*'Building Info &amp; Assumptions'!$B$348,0)</f>
        <v>0</v>
      </c>
      <c r="Q21" s="1038">
        <f>IF(J21='Building Info &amp; Assumptions'!$A$349,K21*'Building Info &amp; Assumptions'!$B$349,0)</f>
        <v>91000000</v>
      </c>
      <c r="R21" s="1038">
        <f>IF(J21='Building Info &amp; Assumptions'!$A$350,K21*'Building Info &amp; Assumptions'!$B$350,0)</f>
        <v>0</v>
      </c>
      <c r="S21" s="1038">
        <f>IF(J21='Building Info &amp; Assumptions'!$A$351,K21*'Building Info &amp; Assumptions'!$B$351,0)</f>
        <v>0</v>
      </c>
      <c r="T21" s="1038">
        <f>IF(J21='Building Info &amp; Assumptions'!$A$352,K21*'Building Info &amp; Assumptions'!$B$352,0)</f>
        <v>0</v>
      </c>
      <c r="U21" s="1038">
        <f>IF(J21='Building Info &amp; Assumptions'!$A$353,K21*'Building Info &amp; Assumptions'!$B$353,0)</f>
        <v>0</v>
      </c>
      <c r="V21" s="1038">
        <f>IF(J21='Building Info &amp; Assumptions'!$A$354,K21*'Building Info &amp; Assumptions'!$B$354,0)</f>
        <v>0</v>
      </c>
      <c r="W21" s="1038">
        <f t="shared" ref="W21:W23" si="20">O21*kBTUperKWH+P21*kBTUperTherm+Q21*kBTUperlbsSteam+R21*kBTUperUnit_Util4+S21*kBTUperUnit_Util5+T21*kBTUperUnit_Util6+U21*kBTUperUnit_Util7+V21*kBTUperUnit_Util8</f>
        <v>108654000</v>
      </c>
      <c r="X21" s="1039">
        <f>O21*'Building Info &amp; Assumptions'!$B$89+P21*'Building Info &amp; Assumptions'!$B$90+Q21*'Building Info &amp; Assumptions'!$B$91+R21*'Building Info &amp; Assumptions'!$B$92+S21*'Building Info &amp; Assumptions'!$B$93+T21*'Building Info &amp; Assumptions'!$B$94+U21*'Building Info &amp; Assumptions'!$B$95+V21*'Building Info &amp; Assumptions'!$B$96</f>
        <v>4088.6299999999997</v>
      </c>
      <c r="Y21" s="50">
        <v>2000</v>
      </c>
      <c r="Z21" s="232">
        <f>IFERROR(VLOOKUP(C21,'Drop Down Lists'!$AZ$2:$BA$46,2,FALSE),0)</f>
        <v>24</v>
      </c>
      <c r="AA21" s="1040">
        <f>500000</f>
        <v>500000</v>
      </c>
      <c r="AB21" s="1041">
        <v>0.02</v>
      </c>
      <c r="AC21" s="1053">
        <f t="shared" si="1"/>
        <v>72800</v>
      </c>
      <c r="AD21" s="1054">
        <f>AB21*(O21*'Building Info &amp; Assumptions'!$B$89+P21*'Building Info &amp; Assumptions'!$B$90+Q21*'Building Info &amp; Assumptions'!$B$91+R21*'Building Info &amp; Assumptions'!$B$92+S21*'Building Info &amp; Assumptions'!$B$93+T21*'Building Info &amp; Assumptions'!$B$94+U21*'Building Info &amp; Assumptions'!$B$95+V21*'Building Info &amp; Assumptions'!$B$96)</f>
        <v>81.772599999999997</v>
      </c>
      <c r="AE21" s="1044" t="str">
        <f t="shared" ca="1" si="2"/>
        <v>1 to 5</v>
      </c>
      <c r="AF21" s="235">
        <f t="shared" ca="1" si="3"/>
        <v>0</v>
      </c>
      <c r="AG21" s="45"/>
      <c r="AH21" s="45"/>
      <c r="AI21" s="739" t="s">
        <v>412</v>
      </c>
      <c r="AJ21" s="738">
        <v>900000</v>
      </c>
      <c r="AK21" s="738">
        <v>0</v>
      </c>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106"/>
      <c r="BV21" s="106"/>
    </row>
    <row r="22" spans="2:74" ht="40.5" customHeight="1">
      <c r="B22" s="735" t="s">
        <v>425</v>
      </c>
      <c r="C22" s="736" t="s">
        <v>426</v>
      </c>
      <c r="D22" s="736" t="s">
        <v>403</v>
      </c>
      <c r="E22" s="736" t="s">
        <v>427</v>
      </c>
      <c r="F22" s="736" t="s">
        <v>398</v>
      </c>
      <c r="G22" s="736" t="s">
        <v>399</v>
      </c>
      <c r="H22" s="736" t="s">
        <v>421</v>
      </c>
      <c r="I22" s="716" t="s">
        <v>376</v>
      </c>
      <c r="J22" s="50" t="s">
        <v>110</v>
      </c>
      <c r="K22" s="734">
        <v>0.05</v>
      </c>
      <c r="L22" s="321">
        <v>1000</v>
      </c>
      <c r="M22" s="321" t="s">
        <v>416</v>
      </c>
      <c r="N22" s="321" t="s">
        <v>402</v>
      </c>
      <c r="O22" s="1038">
        <f>IF(J22="Electricity",K22*'Building Info &amp; Assumptions'!$B$347,0)</f>
        <v>2470000</v>
      </c>
      <c r="P22" s="1038">
        <f>IF(J22="Natural Gas",K22*'Building Info &amp; Assumptions'!$B$348,0)</f>
        <v>0</v>
      </c>
      <c r="Q22" s="1038">
        <f>IF(J22='Building Info &amp; Assumptions'!$A$349,K22*'Building Info &amp; Assumptions'!$B$349,0)</f>
        <v>0</v>
      </c>
      <c r="R22" s="1038">
        <f>IF(J22='Building Info &amp; Assumptions'!$A$350,K22*'Building Info &amp; Assumptions'!$B$350,0)</f>
        <v>0</v>
      </c>
      <c r="S22" s="1038">
        <f>IF(J22='Building Info &amp; Assumptions'!$A$351,K22*'Building Info &amp; Assumptions'!$B$351,0)</f>
        <v>0</v>
      </c>
      <c r="T22" s="1038">
        <f>IF(J22='Building Info &amp; Assumptions'!$A$352,K22*'Building Info &amp; Assumptions'!$B$352,0)</f>
        <v>0</v>
      </c>
      <c r="U22" s="1038">
        <f>IF(J22='Building Info &amp; Assumptions'!$A$353,K22*'Building Info &amp; Assumptions'!$B$353,0)</f>
        <v>0</v>
      </c>
      <c r="V22" s="1038">
        <f>IF(J22='Building Info &amp; Assumptions'!$A$354,K22*'Building Info &amp; Assumptions'!$B$354,0)</f>
        <v>0</v>
      </c>
      <c r="W22" s="1038">
        <f t="shared" si="20"/>
        <v>8427640</v>
      </c>
      <c r="X22" s="1039">
        <f>O22*'Building Info &amp; Assumptions'!$B$89+P22*'Building Info &amp; Assumptions'!$B$90+Q22*'Building Info &amp; Assumptions'!$B$91+R22*'Building Info &amp; Assumptions'!$B$92+S22*'Building Info &amp; Assumptions'!$B$93+T22*'Building Info &amp; Assumptions'!$B$94+U22*'Building Info &amp; Assumptions'!$B$95+V22*'Building Info &amp; Assumptions'!$B$96</f>
        <v>209.18430000000001</v>
      </c>
      <c r="Y22" s="50">
        <v>2010</v>
      </c>
      <c r="Z22" s="232">
        <f>IFERROR(VLOOKUP(C22,'Drop Down Lists'!$AZ$2:$BA$46,2,FALSE),0)</f>
        <v>21</v>
      </c>
      <c r="AA22" s="1040">
        <f>5000*60</f>
        <v>300000</v>
      </c>
      <c r="AB22" s="1041">
        <v>0.02</v>
      </c>
      <c r="AC22" s="1053">
        <f t="shared" si="1"/>
        <v>6864</v>
      </c>
      <c r="AD22" s="1054">
        <f>AB22*(O22*'Building Info &amp; Assumptions'!$B$89+P22*'Building Info &amp; Assumptions'!$B$90+Q22*'Building Info &amp; Assumptions'!$B$91+R22*'Building Info &amp; Assumptions'!$B$92+S22*'Building Info &amp; Assumptions'!$B$93+T22*'Building Info &amp; Assumptions'!$B$94+U22*'Building Info &amp; Assumptions'!$B$95+V22*'Building Info &amp; Assumptions'!$B$96)</f>
        <v>4.1836859999999998</v>
      </c>
      <c r="AE22" s="1044" t="str">
        <f t="shared" ca="1" si="2"/>
        <v>6 to 10</v>
      </c>
      <c r="AF22" s="235">
        <f t="shared" ca="1" si="3"/>
        <v>7</v>
      </c>
      <c r="AG22" s="45"/>
      <c r="AH22" s="45"/>
      <c r="AI22" s="610" t="s">
        <v>428</v>
      </c>
      <c r="AJ22" s="738">
        <v>16050000</v>
      </c>
      <c r="AK22" s="738">
        <v>161600</v>
      </c>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106"/>
      <c r="BV22" s="106"/>
    </row>
    <row r="23" spans="2:74" ht="40.5" customHeight="1">
      <c r="B23" s="95"/>
      <c r="C23" s="588"/>
      <c r="D23" s="588"/>
      <c r="E23" s="588"/>
      <c r="F23" s="588"/>
      <c r="G23" s="588"/>
      <c r="H23" s="588"/>
      <c r="I23" s="716"/>
      <c r="J23" s="50"/>
      <c r="K23" s="50"/>
      <c r="L23" s="321"/>
      <c r="M23" s="321"/>
      <c r="N23" s="321"/>
      <c r="O23" s="1038">
        <f>IF(J23="Electricity",K23*'Building Info &amp; Assumptions'!$B$347,0)</f>
        <v>0</v>
      </c>
      <c r="P23" s="1038">
        <f>IF(J23="Natural Gas",K23*'Building Info &amp; Assumptions'!$B$348,0)</f>
        <v>0</v>
      </c>
      <c r="Q23" s="1038">
        <f>IF(J23='Building Info &amp; Assumptions'!$A$349,K23*'Building Info &amp; Assumptions'!$B$349,0)</f>
        <v>0</v>
      </c>
      <c r="R23" s="1038">
        <f>IF(J23='Building Info &amp; Assumptions'!$A$350,K23*'Building Info &amp; Assumptions'!$B$350,0)</f>
        <v>0</v>
      </c>
      <c r="S23" s="1038">
        <f>IF(J23='Building Info &amp; Assumptions'!$A$351,K23*'Building Info &amp; Assumptions'!$B$351,0)</f>
        <v>0</v>
      </c>
      <c r="T23" s="1038">
        <f>IF(J23='Building Info &amp; Assumptions'!$A$352,K23*'Building Info &amp; Assumptions'!$B$352,0)</f>
        <v>0</v>
      </c>
      <c r="U23" s="1038">
        <f>IF(J23='Building Info &amp; Assumptions'!$A$353,K23*'Building Info &amp; Assumptions'!$B$353,0)</f>
        <v>0</v>
      </c>
      <c r="V23" s="1038">
        <f>IF(J23='Building Info &amp; Assumptions'!$A$354,K23*'Building Info &amp; Assumptions'!$B$354,0)</f>
        <v>0</v>
      </c>
      <c r="W23" s="1038">
        <f t="shared" si="20"/>
        <v>0</v>
      </c>
      <c r="X23" s="1039">
        <f>O23*'Building Info &amp; Assumptions'!$B$89+P23*'Building Info &amp; Assumptions'!$B$90+Q23*'Building Info &amp; Assumptions'!$B$91+R23*'Building Info &amp; Assumptions'!$B$92+S23*'Building Info &amp; Assumptions'!$B$93+T23*'Building Info &amp; Assumptions'!$B$94+U23*'Building Info &amp; Assumptions'!$B$95+V23*'Building Info &amp; Assumptions'!$B$96</f>
        <v>0</v>
      </c>
      <c r="Y23" s="50"/>
      <c r="Z23" s="232">
        <f>IFERROR(VLOOKUP(C23,'Drop Down Lists'!$AZ$2:$BA$46,2,FALSE),0)</f>
        <v>0</v>
      </c>
      <c r="AA23" s="1055"/>
      <c r="AB23" s="1056"/>
      <c r="AC23" s="1042">
        <f t="shared" si="1"/>
        <v>0</v>
      </c>
      <c r="AD23" s="1043">
        <f>AB23*(O23*'Building Info &amp; Assumptions'!$B$89+P23*'Building Info &amp; Assumptions'!$B$90+Q23*'Building Info &amp; Assumptions'!$B$91+R23*'Building Info &amp; Assumptions'!$B$92+S23*'Building Info &amp; Assumptions'!$B$93+T23*'Building Info &amp; Assumptions'!$B$94+U23*'Building Info &amp; Assumptions'!$B$95+V23*'Building Info &amp; Assumptions'!$B$96)</f>
        <v>0</v>
      </c>
      <c r="AE23" s="1044" t="str">
        <f t="shared" ca="1" si="2"/>
        <v>1 to 5</v>
      </c>
      <c r="AF23" s="235">
        <f t="shared" ca="1" si="3"/>
        <v>-2024</v>
      </c>
      <c r="AG23" s="45"/>
      <c r="AH23" s="45"/>
      <c r="AI23" s="106"/>
      <c r="AJ23" s="106"/>
      <c r="AK23" s="106"/>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106"/>
      <c r="BV23" s="106"/>
    </row>
    <row r="24" spans="2:74" s="102" customFormat="1" ht="40.5" customHeight="1">
      <c r="B24" s="95"/>
      <c r="C24" s="588"/>
      <c r="D24" s="588"/>
      <c r="E24" s="588"/>
      <c r="F24" s="588"/>
      <c r="G24" s="588"/>
      <c r="H24" s="588"/>
      <c r="I24" s="716"/>
      <c r="J24" s="50"/>
      <c r="K24" s="50"/>
      <c r="L24" s="321"/>
      <c r="M24" s="321"/>
      <c r="N24" s="321"/>
      <c r="O24" s="1038">
        <f>IF(J24="Electricity",K24*'Building Info &amp; Assumptions'!$B$347,0)</f>
        <v>0</v>
      </c>
      <c r="P24" s="1038">
        <f>IF(J24="Natural Gas",K24*'Building Info &amp; Assumptions'!$B$348,0)</f>
        <v>0</v>
      </c>
      <c r="Q24" s="1038">
        <f>IF(J24='Building Info &amp; Assumptions'!$A$349,K24*'Building Info &amp; Assumptions'!$B$349,0)</f>
        <v>0</v>
      </c>
      <c r="R24" s="1038">
        <f>IF(J24='Building Info &amp; Assumptions'!$A$350,K24*'Building Info &amp; Assumptions'!$B$350,0)</f>
        <v>0</v>
      </c>
      <c r="S24" s="1038">
        <f>IF(J24='Building Info &amp; Assumptions'!$A$351,K24*'Building Info &amp; Assumptions'!$B$351,0)</f>
        <v>0</v>
      </c>
      <c r="T24" s="1038">
        <f>IF(J24='Building Info &amp; Assumptions'!$A$352,K24*'Building Info &amp; Assumptions'!$B$352,0)</f>
        <v>0</v>
      </c>
      <c r="U24" s="1038">
        <f>IF(J24='Building Info &amp; Assumptions'!$A$353,K24*'Building Info &amp; Assumptions'!$B$353,0)</f>
        <v>0</v>
      </c>
      <c r="V24" s="1038">
        <f>IF(J24='Building Info &amp; Assumptions'!$A$354,K24*'Building Info &amp; Assumptions'!$B$354,0)</f>
        <v>0</v>
      </c>
      <c r="W24" s="1038">
        <f t="shared" si="0"/>
        <v>0</v>
      </c>
      <c r="X24" s="1039">
        <f>O24*'Building Info &amp; Assumptions'!$B$89+P24*'Building Info &amp; Assumptions'!$B$90+Q24*'Building Info &amp; Assumptions'!$B$91+R24*'Building Info &amp; Assumptions'!$B$92+S24*'Building Info &amp; Assumptions'!$B$93+T24*'Building Info &amp; Assumptions'!$B$94+U24*'Building Info &amp; Assumptions'!$B$95+V24*'Building Info &amp; Assumptions'!$B$96</f>
        <v>0</v>
      </c>
      <c r="Y24" s="50"/>
      <c r="Z24" s="232">
        <f>IFERROR(VLOOKUP(C24,'Drop Down Lists'!$AZ$2:$BA$46,2,FALSE),0)</f>
        <v>0</v>
      </c>
      <c r="AA24" s="1055"/>
      <c r="AB24" s="1056"/>
      <c r="AC24" s="1042">
        <f t="shared" si="1"/>
        <v>0</v>
      </c>
      <c r="AD24" s="1043">
        <f>AB24*(O24*'Building Info &amp; Assumptions'!$B$89+P24*'Building Info &amp; Assumptions'!$B$90+Q24*'Building Info &amp; Assumptions'!$B$91+R24*'Building Info &amp; Assumptions'!$B$92+S24*'Building Info &amp; Assumptions'!$B$93+T24*'Building Info &amp; Assumptions'!$B$94+U24*'Building Info &amp; Assumptions'!$B$95+V24*'Building Info &amp; Assumptions'!$B$96)</f>
        <v>0</v>
      </c>
      <c r="AE24" s="1044" t="str">
        <f t="shared" ca="1" si="2"/>
        <v>1 to 5</v>
      </c>
      <c r="AF24" s="235">
        <f t="shared" ca="1" si="3"/>
        <v>-2024</v>
      </c>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106"/>
      <c r="BO24" s="106"/>
      <c r="BP24" s="106"/>
      <c r="BQ24" s="106"/>
      <c r="BR24" s="106"/>
      <c r="BS24" s="106"/>
      <c r="BT24" s="106"/>
      <c r="BU24" s="106"/>
      <c r="BV24" s="106"/>
    </row>
    <row r="25" spans="2:74" s="102" customFormat="1" ht="40.5" customHeight="1">
      <c r="B25" s="95"/>
      <c r="C25" s="588"/>
      <c r="D25" s="588"/>
      <c r="E25" s="588"/>
      <c r="F25" s="588"/>
      <c r="G25" s="588"/>
      <c r="H25" s="588"/>
      <c r="I25" s="716"/>
      <c r="J25" s="50"/>
      <c r="K25" s="50"/>
      <c r="L25" s="321"/>
      <c r="M25" s="321"/>
      <c r="N25" s="321"/>
      <c r="O25" s="1038">
        <f>IF(J25="Electricity",K25*'Building Info &amp; Assumptions'!$B$347,0)</f>
        <v>0</v>
      </c>
      <c r="P25" s="1038">
        <f>IF(J25="Natural Gas",K25*'Building Info &amp; Assumptions'!$B$348,0)</f>
        <v>0</v>
      </c>
      <c r="Q25" s="1038">
        <f>IF(J25='Building Info &amp; Assumptions'!$A$349,K25*'Building Info &amp; Assumptions'!$B$349,0)</f>
        <v>0</v>
      </c>
      <c r="R25" s="1038">
        <f>IF(J25='Building Info &amp; Assumptions'!$A$350,K25*'Building Info &amp; Assumptions'!$B$350,0)</f>
        <v>0</v>
      </c>
      <c r="S25" s="1038">
        <f>IF(J25='Building Info &amp; Assumptions'!$A$351,K25*'Building Info &amp; Assumptions'!$B$351,0)</f>
        <v>0</v>
      </c>
      <c r="T25" s="1038">
        <f>IF(J25='Building Info &amp; Assumptions'!$A$352,K25*'Building Info &amp; Assumptions'!$B$352,0)</f>
        <v>0</v>
      </c>
      <c r="U25" s="1038">
        <f>IF(J25='Building Info &amp; Assumptions'!$A$353,K25*'Building Info &amp; Assumptions'!$B$353,0)</f>
        <v>0</v>
      </c>
      <c r="V25" s="1038">
        <f>IF(J25='Building Info &amp; Assumptions'!$A$354,K25*'Building Info &amp; Assumptions'!$B$354,0)</f>
        <v>0</v>
      </c>
      <c r="W25" s="1038">
        <f t="shared" si="0"/>
        <v>0</v>
      </c>
      <c r="X25" s="1039">
        <f>O25*'Building Info &amp; Assumptions'!$B$89+P25*'Building Info &amp; Assumptions'!$B$90+Q25*'Building Info &amp; Assumptions'!$B$91+R25*'Building Info &amp; Assumptions'!$B$92+S25*'Building Info &amp; Assumptions'!$B$93+T25*'Building Info &amp; Assumptions'!$B$94+U25*'Building Info &amp; Assumptions'!$B$95+V25*'Building Info &amp; Assumptions'!$B$96</f>
        <v>0</v>
      </c>
      <c r="Y25" s="50"/>
      <c r="Z25" s="232">
        <f>IFERROR(VLOOKUP(C25,'Drop Down Lists'!$AZ$2:$BA$46,2,FALSE),0)</f>
        <v>0</v>
      </c>
      <c r="AA25" s="1055"/>
      <c r="AB25" s="1056"/>
      <c r="AC25" s="1042">
        <f t="shared" si="1"/>
        <v>0</v>
      </c>
      <c r="AD25" s="1043">
        <f>AB25*(O25*'Building Info &amp; Assumptions'!$B$89+P25*'Building Info &amp; Assumptions'!$B$90+Q25*'Building Info &amp; Assumptions'!$B$91+R25*'Building Info &amp; Assumptions'!$B$92+S25*'Building Info &amp; Assumptions'!$B$93+T25*'Building Info &amp; Assumptions'!$B$94+U25*'Building Info &amp; Assumptions'!$B$95+V25*'Building Info &amp; Assumptions'!$B$96)</f>
        <v>0</v>
      </c>
      <c r="AE25" s="1044" t="str">
        <f t="shared" ca="1" si="2"/>
        <v>1 to 5</v>
      </c>
      <c r="AF25" s="235">
        <f t="shared" ca="1" si="3"/>
        <v>-2024</v>
      </c>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106"/>
      <c r="BO25" s="106"/>
      <c r="BP25" s="106"/>
      <c r="BQ25" s="106"/>
      <c r="BR25" s="106"/>
      <c r="BS25" s="106"/>
      <c r="BT25" s="106"/>
      <c r="BU25" s="106"/>
      <c r="BV25" s="106"/>
    </row>
    <row r="26" spans="2:74" s="106" customFormat="1" ht="40.5" customHeight="1">
      <c r="B26" s="95"/>
      <c r="C26" s="588"/>
      <c r="D26" s="588"/>
      <c r="E26" s="588"/>
      <c r="F26" s="588"/>
      <c r="G26" s="588"/>
      <c r="H26" s="588"/>
      <c r="I26" s="716"/>
      <c r="J26" s="50"/>
      <c r="K26" s="50"/>
      <c r="L26" s="321"/>
      <c r="M26" s="321"/>
      <c r="N26" s="321"/>
      <c r="O26" s="1038">
        <f>IF(J26="Electricity",K26*'Building Info &amp; Assumptions'!$B$347,0)</f>
        <v>0</v>
      </c>
      <c r="P26" s="1038">
        <f>IF(J26="Natural Gas",K26*'Building Info &amp; Assumptions'!$B$348,0)</f>
        <v>0</v>
      </c>
      <c r="Q26" s="1038">
        <f>IF(J26='Building Info &amp; Assumptions'!$A$349,K26*'Building Info &amp; Assumptions'!$B$349,0)</f>
        <v>0</v>
      </c>
      <c r="R26" s="1038">
        <f>IF(J26='Building Info &amp; Assumptions'!$A$350,K26*'Building Info &amp; Assumptions'!$B$350,0)</f>
        <v>0</v>
      </c>
      <c r="S26" s="1038">
        <f>IF(J26='Building Info &amp; Assumptions'!$A$351,K26*'Building Info &amp; Assumptions'!$B$351,0)</f>
        <v>0</v>
      </c>
      <c r="T26" s="1038">
        <f>IF(J26='Building Info &amp; Assumptions'!$A$352,K26*'Building Info &amp; Assumptions'!$B$352,0)</f>
        <v>0</v>
      </c>
      <c r="U26" s="1038">
        <f>IF(J26='Building Info &amp; Assumptions'!$A$353,K26*'Building Info &amp; Assumptions'!$B$353,0)</f>
        <v>0</v>
      </c>
      <c r="V26" s="1038">
        <f>IF(J26='Building Info &amp; Assumptions'!$A$354,K26*'Building Info &amp; Assumptions'!$B$354,0)</f>
        <v>0</v>
      </c>
      <c r="W26" s="1038">
        <f t="shared" si="0"/>
        <v>0</v>
      </c>
      <c r="X26" s="1039">
        <f>O26*'Building Info &amp; Assumptions'!$B$89+P26*'Building Info &amp; Assumptions'!$B$90+Q26*'Building Info &amp; Assumptions'!$B$91+R26*'Building Info &amp; Assumptions'!$B$92+S26*'Building Info &amp; Assumptions'!$B$93+T26*'Building Info &amp; Assumptions'!$B$94+U26*'Building Info &amp; Assumptions'!$B$95+V26*'Building Info &amp; Assumptions'!$B$96</f>
        <v>0</v>
      </c>
      <c r="Y26" s="50"/>
      <c r="Z26" s="232">
        <f>IFERROR(VLOOKUP(C26,'Drop Down Lists'!$AZ$2:$BA$46,2,FALSE),0)</f>
        <v>0</v>
      </c>
      <c r="AA26" s="1055"/>
      <c r="AB26" s="1056"/>
      <c r="AC26" s="1042">
        <f t="shared" si="1"/>
        <v>0</v>
      </c>
      <c r="AD26" s="1043">
        <f>AB26*(O26*'Building Info &amp; Assumptions'!$B$89+P26*'Building Info &amp; Assumptions'!$B$90+Q26*'Building Info &amp; Assumptions'!$B$91+R26*'Building Info &amp; Assumptions'!$B$92+S26*'Building Info &amp; Assumptions'!$B$93+T26*'Building Info &amp; Assumptions'!$B$94+U26*'Building Info &amp; Assumptions'!$B$95+V26*'Building Info &amp; Assumptions'!$B$96)</f>
        <v>0</v>
      </c>
      <c r="AE26" s="1044" t="str">
        <f t="shared" ca="1" si="2"/>
        <v>1 to 5</v>
      </c>
      <c r="AF26" s="235">
        <f t="shared" ca="1" si="3"/>
        <v>-2024</v>
      </c>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row>
    <row r="27" spans="2:74" s="106" customFormat="1" ht="40.5" customHeight="1">
      <c r="B27" s="95"/>
      <c r="C27" s="588"/>
      <c r="D27" s="588"/>
      <c r="E27" s="588"/>
      <c r="F27" s="588"/>
      <c r="G27" s="588"/>
      <c r="H27" s="588"/>
      <c r="I27" s="716"/>
      <c r="J27" s="50"/>
      <c r="K27" s="50"/>
      <c r="L27" s="321"/>
      <c r="M27" s="321"/>
      <c r="N27" s="321"/>
      <c r="O27" s="1038">
        <f>IF(J27="Electricity",K27*'Building Info &amp; Assumptions'!$B$347,0)</f>
        <v>0</v>
      </c>
      <c r="P27" s="1038">
        <f>IF(J27="Natural Gas",K27*'Building Info &amp; Assumptions'!$B$348,0)</f>
        <v>0</v>
      </c>
      <c r="Q27" s="1038">
        <f>IF(J27='Building Info &amp; Assumptions'!$A$349,K27*'Building Info &amp; Assumptions'!$B$349,0)</f>
        <v>0</v>
      </c>
      <c r="R27" s="1038">
        <f>IF(J27='Building Info &amp; Assumptions'!$A$350,K27*'Building Info &amp; Assumptions'!$B$350,0)</f>
        <v>0</v>
      </c>
      <c r="S27" s="1038">
        <f>IF(J27='Building Info &amp; Assumptions'!$A$351,K27*'Building Info &amp; Assumptions'!$B$351,0)</f>
        <v>0</v>
      </c>
      <c r="T27" s="1038">
        <f>IF(J27='Building Info &amp; Assumptions'!$A$352,K27*'Building Info &amp; Assumptions'!$B$352,0)</f>
        <v>0</v>
      </c>
      <c r="U27" s="1038">
        <f>IF(J27='Building Info &amp; Assumptions'!$A$353,K27*'Building Info &amp; Assumptions'!$B$353,0)</f>
        <v>0</v>
      </c>
      <c r="V27" s="1038">
        <f>IF(J27='Building Info &amp; Assumptions'!$A$354,K27*'Building Info &amp; Assumptions'!$B$354,0)</f>
        <v>0</v>
      </c>
      <c r="W27" s="1038">
        <f t="shared" si="0"/>
        <v>0</v>
      </c>
      <c r="X27" s="1039">
        <f>O27*'Building Info &amp; Assumptions'!$B$89+P27*'Building Info &amp; Assumptions'!$B$90+Q27*'Building Info &amp; Assumptions'!$B$91+R27*'Building Info &amp; Assumptions'!$B$92+S27*'Building Info &amp; Assumptions'!$B$93+T27*'Building Info &amp; Assumptions'!$B$94+U27*'Building Info &amp; Assumptions'!$B$95+V27*'Building Info &amp; Assumptions'!$B$96</f>
        <v>0</v>
      </c>
      <c r="Y27" s="50"/>
      <c r="Z27" s="232">
        <f>IFERROR(VLOOKUP(C27,'Drop Down Lists'!$AZ$2:$BA$46,2,FALSE),0)</f>
        <v>0</v>
      </c>
      <c r="AA27" s="1055"/>
      <c r="AB27" s="1056"/>
      <c r="AC27" s="1042">
        <f t="shared" si="1"/>
        <v>0</v>
      </c>
      <c r="AD27" s="1043">
        <f>AB27*(O27*'Building Info &amp; Assumptions'!$B$89+P27*'Building Info &amp; Assumptions'!$B$90+Q27*'Building Info &amp; Assumptions'!$B$91+R27*'Building Info &amp; Assumptions'!$B$92+S27*'Building Info &amp; Assumptions'!$B$93+T27*'Building Info &amp; Assumptions'!$B$94+U27*'Building Info &amp; Assumptions'!$B$95+V27*'Building Info &amp; Assumptions'!$B$96)</f>
        <v>0</v>
      </c>
      <c r="AE27" s="1044" t="str">
        <f t="shared" ca="1" si="2"/>
        <v>1 to 5</v>
      </c>
      <c r="AF27" s="235">
        <f t="shared" ca="1" si="3"/>
        <v>-2024</v>
      </c>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row>
    <row r="28" spans="2:74" s="106" customFormat="1" ht="40.5" customHeight="1">
      <c r="B28" s="95"/>
      <c r="C28" s="588"/>
      <c r="D28" s="588"/>
      <c r="E28" s="588"/>
      <c r="F28" s="588"/>
      <c r="G28" s="588"/>
      <c r="H28" s="588"/>
      <c r="I28" s="716"/>
      <c r="J28" s="50"/>
      <c r="K28" s="50"/>
      <c r="L28" s="321"/>
      <c r="M28" s="321"/>
      <c r="N28" s="321"/>
      <c r="O28" s="1038">
        <f>IF(J28="Electricity",K28*'Building Info &amp; Assumptions'!$B$347,0)</f>
        <v>0</v>
      </c>
      <c r="P28" s="1038">
        <f>IF(J28="Natural Gas",K28*'Building Info &amp; Assumptions'!$B$348,0)</f>
        <v>0</v>
      </c>
      <c r="Q28" s="1038">
        <f>IF(J28='Building Info &amp; Assumptions'!$A$349,K28*'Building Info &amp; Assumptions'!$B$349,0)</f>
        <v>0</v>
      </c>
      <c r="R28" s="1038">
        <f>IF(J28='Building Info &amp; Assumptions'!$A$350,K28*'Building Info &amp; Assumptions'!$B$350,0)</f>
        <v>0</v>
      </c>
      <c r="S28" s="1038">
        <f>IF(J28='Building Info &amp; Assumptions'!$A$351,K28*'Building Info &amp; Assumptions'!$B$351,0)</f>
        <v>0</v>
      </c>
      <c r="T28" s="1038">
        <f>IF(J28='Building Info &amp; Assumptions'!$A$352,K28*'Building Info &amp; Assumptions'!$B$352,0)</f>
        <v>0</v>
      </c>
      <c r="U28" s="1038">
        <f>IF(J28='Building Info &amp; Assumptions'!$A$353,K28*'Building Info &amp; Assumptions'!$B$353,0)</f>
        <v>0</v>
      </c>
      <c r="V28" s="1038">
        <f>IF(J28='Building Info &amp; Assumptions'!$A$354,K28*'Building Info &amp; Assumptions'!$B$354,0)</f>
        <v>0</v>
      </c>
      <c r="W28" s="1038">
        <f t="shared" si="0"/>
        <v>0</v>
      </c>
      <c r="X28" s="1039">
        <f>O28*'Building Info &amp; Assumptions'!$B$89+P28*'Building Info &amp; Assumptions'!$B$90+Q28*'Building Info &amp; Assumptions'!$B$91+R28*'Building Info &amp; Assumptions'!$B$92+S28*'Building Info &amp; Assumptions'!$B$93+T28*'Building Info &amp; Assumptions'!$B$94+U28*'Building Info &amp; Assumptions'!$B$95+V28*'Building Info &amp; Assumptions'!$B$96</f>
        <v>0</v>
      </c>
      <c r="Y28" s="50"/>
      <c r="Z28" s="232">
        <f>IFERROR(VLOOKUP(C28,'Drop Down Lists'!$AZ$2:$BA$46,2,FALSE),0)</f>
        <v>0</v>
      </c>
      <c r="AA28" s="1055"/>
      <c r="AB28" s="1056"/>
      <c r="AC28" s="1042">
        <f t="shared" si="1"/>
        <v>0</v>
      </c>
      <c r="AD28" s="1043">
        <f>AB28*(O28*'Building Info &amp; Assumptions'!$B$89+P28*'Building Info &amp; Assumptions'!$B$90+Q28*'Building Info &amp; Assumptions'!$B$91+R28*'Building Info &amp; Assumptions'!$B$92+S28*'Building Info &amp; Assumptions'!$B$93+T28*'Building Info &amp; Assumptions'!$B$94+U28*'Building Info &amp; Assumptions'!$B$95+V28*'Building Info &amp; Assumptions'!$B$96)</f>
        <v>0</v>
      </c>
      <c r="AE28" s="1044" t="str">
        <f t="shared" ca="1" si="2"/>
        <v>1 to 5</v>
      </c>
      <c r="AF28" s="235">
        <f t="shared" ca="1" si="3"/>
        <v>-2024</v>
      </c>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row>
    <row r="29" spans="2:74" s="106" customFormat="1" ht="40.5" customHeight="1">
      <c r="B29" s="95"/>
      <c r="C29" s="588"/>
      <c r="D29" s="588"/>
      <c r="E29" s="588"/>
      <c r="F29" s="588"/>
      <c r="G29" s="588"/>
      <c r="H29" s="588"/>
      <c r="I29" s="716"/>
      <c r="J29" s="50"/>
      <c r="K29" s="50"/>
      <c r="L29" s="321"/>
      <c r="M29" s="321"/>
      <c r="N29" s="321"/>
      <c r="O29" s="1038">
        <f>IF(J29="Electricity",K29*'Building Info &amp; Assumptions'!$B$347,0)</f>
        <v>0</v>
      </c>
      <c r="P29" s="1038">
        <f>IF(J29="Natural Gas",K29*'Building Info &amp; Assumptions'!$B$348,0)</f>
        <v>0</v>
      </c>
      <c r="Q29" s="1038">
        <f>IF(J29='Building Info &amp; Assumptions'!$A$349,K29*'Building Info &amp; Assumptions'!$B$349,0)</f>
        <v>0</v>
      </c>
      <c r="R29" s="1038">
        <f>IF(J29='Building Info &amp; Assumptions'!$A$350,K29*'Building Info &amp; Assumptions'!$B$350,0)</f>
        <v>0</v>
      </c>
      <c r="S29" s="1038">
        <f>IF(J29='Building Info &amp; Assumptions'!$A$351,K29*'Building Info &amp; Assumptions'!$B$351,0)</f>
        <v>0</v>
      </c>
      <c r="T29" s="1038">
        <f>IF(J29='Building Info &amp; Assumptions'!$A$352,K29*'Building Info &amp; Assumptions'!$B$352,0)</f>
        <v>0</v>
      </c>
      <c r="U29" s="1038">
        <f>IF(J29='Building Info &amp; Assumptions'!$A$353,K29*'Building Info &amp; Assumptions'!$B$353,0)</f>
        <v>0</v>
      </c>
      <c r="V29" s="1038">
        <f>IF(J29='Building Info &amp; Assumptions'!$A$354,K29*'Building Info &amp; Assumptions'!$B$354,0)</f>
        <v>0</v>
      </c>
      <c r="W29" s="1038">
        <f t="shared" si="0"/>
        <v>0</v>
      </c>
      <c r="X29" s="1039">
        <f>O29*'Building Info &amp; Assumptions'!$B$89+P29*'Building Info &amp; Assumptions'!$B$90+Q29*'Building Info &amp; Assumptions'!$B$91+R29*'Building Info &amp; Assumptions'!$B$92+S29*'Building Info &amp; Assumptions'!$B$93+T29*'Building Info &amp; Assumptions'!$B$94+U29*'Building Info &amp; Assumptions'!$B$95+V29*'Building Info &amp; Assumptions'!$B$96</f>
        <v>0</v>
      </c>
      <c r="Y29" s="50"/>
      <c r="Z29" s="232">
        <f>IFERROR(VLOOKUP(C29,'Drop Down Lists'!$AZ$2:$BA$46,2,FALSE),0)</f>
        <v>0</v>
      </c>
      <c r="AA29" s="1055"/>
      <c r="AB29" s="1056"/>
      <c r="AC29" s="1042">
        <f t="shared" si="1"/>
        <v>0</v>
      </c>
      <c r="AD29" s="1043">
        <f>AB29*(O29*'Building Info &amp; Assumptions'!$B$89+P29*'Building Info &amp; Assumptions'!$B$90+Q29*'Building Info &amp; Assumptions'!$B$91+R29*'Building Info &amp; Assumptions'!$B$92+S29*'Building Info &amp; Assumptions'!$B$93+T29*'Building Info &amp; Assumptions'!$B$94+U29*'Building Info &amp; Assumptions'!$B$95+V29*'Building Info &amp; Assumptions'!$B$96)</f>
        <v>0</v>
      </c>
      <c r="AE29" s="1044" t="str">
        <f t="shared" ca="1" si="2"/>
        <v>1 to 5</v>
      </c>
      <c r="AF29" s="235">
        <f t="shared" ca="1" si="3"/>
        <v>-2024</v>
      </c>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row>
    <row r="30" spans="2:74" s="106" customFormat="1" ht="40.5" customHeight="1">
      <c r="B30" s="95"/>
      <c r="C30" s="588"/>
      <c r="D30" s="588"/>
      <c r="E30" s="588"/>
      <c r="F30" s="588"/>
      <c r="G30" s="588"/>
      <c r="H30" s="588"/>
      <c r="I30" s="716"/>
      <c r="J30" s="50"/>
      <c r="K30" s="50"/>
      <c r="L30" s="321"/>
      <c r="M30" s="321"/>
      <c r="N30" s="321"/>
      <c r="O30" s="1038">
        <f>IF(J30="Electricity",K30*'Building Info &amp; Assumptions'!$B$347,0)</f>
        <v>0</v>
      </c>
      <c r="P30" s="1038">
        <f>IF(J30="Natural Gas",K30*'Building Info &amp; Assumptions'!$B$348,0)</f>
        <v>0</v>
      </c>
      <c r="Q30" s="1038">
        <f>IF(J30='Building Info &amp; Assumptions'!$A$349,K30*'Building Info &amp; Assumptions'!$B$349,0)</f>
        <v>0</v>
      </c>
      <c r="R30" s="1038">
        <f>IF(J30='Building Info &amp; Assumptions'!$A$350,K30*'Building Info &amp; Assumptions'!$B$350,0)</f>
        <v>0</v>
      </c>
      <c r="S30" s="1038">
        <f>IF(J30='Building Info &amp; Assumptions'!$A$351,K30*'Building Info &amp; Assumptions'!$B$351,0)</f>
        <v>0</v>
      </c>
      <c r="T30" s="1038">
        <f>IF(J30='Building Info &amp; Assumptions'!$A$352,K30*'Building Info &amp; Assumptions'!$B$352,0)</f>
        <v>0</v>
      </c>
      <c r="U30" s="1038">
        <f>IF(J30='Building Info &amp; Assumptions'!$A$353,K30*'Building Info &amp; Assumptions'!$B$353,0)</f>
        <v>0</v>
      </c>
      <c r="V30" s="1038">
        <f>IF(J30='Building Info &amp; Assumptions'!$A$354,K30*'Building Info &amp; Assumptions'!$B$354,0)</f>
        <v>0</v>
      </c>
      <c r="W30" s="1038">
        <f t="shared" si="0"/>
        <v>0</v>
      </c>
      <c r="X30" s="1039">
        <f>O30*'Building Info &amp; Assumptions'!$B$89+P30*'Building Info &amp; Assumptions'!$B$90+Q30*'Building Info &amp; Assumptions'!$B$91+R30*'Building Info &amp; Assumptions'!$B$92+S30*'Building Info &amp; Assumptions'!$B$93+T30*'Building Info &amp; Assumptions'!$B$94+U30*'Building Info &amp; Assumptions'!$B$95+V30*'Building Info &amp; Assumptions'!$B$96</f>
        <v>0</v>
      </c>
      <c r="Y30" s="50"/>
      <c r="Z30" s="232">
        <f>IFERROR(VLOOKUP(C30,'Drop Down Lists'!$AZ$2:$BA$46,2,FALSE),0)</f>
        <v>0</v>
      </c>
      <c r="AA30" s="1055"/>
      <c r="AB30" s="1056"/>
      <c r="AC30" s="1042">
        <f t="shared" si="1"/>
        <v>0</v>
      </c>
      <c r="AD30" s="1043">
        <f>AB30*(O30*'Building Info &amp; Assumptions'!$B$89+P30*'Building Info &amp; Assumptions'!$B$90+Q30*'Building Info &amp; Assumptions'!$B$91+R30*'Building Info &amp; Assumptions'!$B$92+S30*'Building Info &amp; Assumptions'!$B$93+T30*'Building Info &amp; Assumptions'!$B$94+U30*'Building Info &amp; Assumptions'!$B$95+V30*'Building Info &amp; Assumptions'!$B$96)</f>
        <v>0</v>
      </c>
      <c r="AE30" s="1044" t="str">
        <f t="shared" ca="1" si="2"/>
        <v>1 to 5</v>
      </c>
      <c r="AF30" s="235">
        <f t="shared" ca="1" si="3"/>
        <v>-2024</v>
      </c>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row>
    <row r="31" spans="2:74" s="106" customFormat="1" ht="40.5" customHeight="1">
      <c r="B31" s="95"/>
      <c r="C31" s="588"/>
      <c r="D31" s="588"/>
      <c r="E31" s="588"/>
      <c r="F31" s="588"/>
      <c r="G31" s="588"/>
      <c r="H31" s="588"/>
      <c r="I31" s="716"/>
      <c r="J31" s="50"/>
      <c r="K31" s="50"/>
      <c r="L31" s="321"/>
      <c r="M31" s="321"/>
      <c r="N31" s="321"/>
      <c r="O31" s="1038">
        <f>IF(J31="Electricity",K31*'Building Info &amp; Assumptions'!$B$347,0)</f>
        <v>0</v>
      </c>
      <c r="P31" s="1038">
        <f>IF(J31="Natural Gas",K31*'Building Info &amp; Assumptions'!$B$348,0)</f>
        <v>0</v>
      </c>
      <c r="Q31" s="1038">
        <f>IF(J31='Building Info &amp; Assumptions'!$A$349,K31*'Building Info &amp; Assumptions'!$B$349,0)</f>
        <v>0</v>
      </c>
      <c r="R31" s="1038">
        <f>IF(J31='Building Info &amp; Assumptions'!$A$350,K31*'Building Info &amp; Assumptions'!$B$350,0)</f>
        <v>0</v>
      </c>
      <c r="S31" s="1038">
        <f>IF(J31='Building Info &amp; Assumptions'!$A$351,K31*'Building Info &amp; Assumptions'!$B$351,0)</f>
        <v>0</v>
      </c>
      <c r="T31" s="1038">
        <f>IF(J31='Building Info &amp; Assumptions'!$A$352,K31*'Building Info &amp; Assumptions'!$B$352,0)</f>
        <v>0</v>
      </c>
      <c r="U31" s="1038">
        <f>IF(J31='Building Info &amp; Assumptions'!$A$353,K31*'Building Info &amp; Assumptions'!$B$353,0)</f>
        <v>0</v>
      </c>
      <c r="V31" s="1038">
        <f>IF(J31='Building Info &amp; Assumptions'!$A$354,K31*'Building Info &amp; Assumptions'!$B$354,0)</f>
        <v>0</v>
      </c>
      <c r="W31" s="1038">
        <f t="shared" si="0"/>
        <v>0</v>
      </c>
      <c r="X31" s="1039">
        <f>O31*'Building Info &amp; Assumptions'!$B$89+P31*'Building Info &amp; Assumptions'!$B$90+Q31*'Building Info &amp; Assumptions'!$B$91+R31*'Building Info &amp; Assumptions'!$B$92+S31*'Building Info &amp; Assumptions'!$B$93+T31*'Building Info &amp; Assumptions'!$B$94+U31*'Building Info &amp; Assumptions'!$B$95+V31*'Building Info &amp; Assumptions'!$B$96</f>
        <v>0</v>
      </c>
      <c r="Y31" s="50"/>
      <c r="Z31" s="232">
        <f>IFERROR(VLOOKUP(C31,'Drop Down Lists'!$AZ$2:$BA$46,2,FALSE),0)</f>
        <v>0</v>
      </c>
      <c r="AA31" s="1055"/>
      <c r="AB31" s="1056"/>
      <c r="AC31" s="1042">
        <f t="shared" si="1"/>
        <v>0</v>
      </c>
      <c r="AD31" s="1043">
        <f>AB31*(O31*'Building Info &amp; Assumptions'!$B$89+P31*'Building Info &amp; Assumptions'!$B$90+Q31*'Building Info &amp; Assumptions'!$B$91+R31*'Building Info &amp; Assumptions'!$B$92+S31*'Building Info &amp; Assumptions'!$B$93+T31*'Building Info &amp; Assumptions'!$B$94+U31*'Building Info &amp; Assumptions'!$B$95+V31*'Building Info &amp; Assumptions'!$B$96)</f>
        <v>0</v>
      </c>
      <c r="AE31" s="1044" t="str">
        <f t="shared" ca="1" si="2"/>
        <v>1 to 5</v>
      </c>
      <c r="AF31" s="235">
        <f t="shared" ca="1" si="3"/>
        <v>-2024</v>
      </c>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row>
    <row r="32" spans="2:74" s="106" customFormat="1" ht="40.5" customHeight="1">
      <c r="B32" s="95"/>
      <c r="C32" s="588"/>
      <c r="D32" s="588"/>
      <c r="E32" s="588"/>
      <c r="F32" s="588"/>
      <c r="G32" s="588"/>
      <c r="H32" s="588"/>
      <c r="I32" s="716"/>
      <c r="J32" s="50"/>
      <c r="K32" s="50"/>
      <c r="L32" s="321"/>
      <c r="M32" s="321"/>
      <c r="N32" s="321"/>
      <c r="O32" s="1038">
        <f>IF(J32="Electricity",K32*'Building Info &amp; Assumptions'!$B$347,0)</f>
        <v>0</v>
      </c>
      <c r="P32" s="1038">
        <f>IF(J32="Natural Gas",K32*'Building Info &amp; Assumptions'!$B$348,0)</f>
        <v>0</v>
      </c>
      <c r="Q32" s="1038">
        <f>IF(J32='Building Info &amp; Assumptions'!$A$349,K32*'Building Info &amp; Assumptions'!$B$349,0)</f>
        <v>0</v>
      </c>
      <c r="R32" s="1038">
        <f>IF(J32='Building Info &amp; Assumptions'!$A$350,K32*'Building Info &amp; Assumptions'!$B$350,0)</f>
        <v>0</v>
      </c>
      <c r="S32" s="1038">
        <f>IF(J32='Building Info &amp; Assumptions'!$A$351,K32*'Building Info &amp; Assumptions'!$B$351,0)</f>
        <v>0</v>
      </c>
      <c r="T32" s="1038">
        <f>IF(J32='Building Info &amp; Assumptions'!$A$352,K32*'Building Info &amp; Assumptions'!$B$352,0)</f>
        <v>0</v>
      </c>
      <c r="U32" s="1038">
        <f>IF(J32='Building Info &amp; Assumptions'!$A$353,K32*'Building Info &amp; Assumptions'!$B$353,0)</f>
        <v>0</v>
      </c>
      <c r="V32" s="1038">
        <f>IF(J32='Building Info &amp; Assumptions'!$A$354,K32*'Building Info &amp; Assumptions'!$B$354,0)</f>
        <v>0</v>
      </c>
      <c r="W32" s="1038">
        <f t="shared" si="0"/>
        <v>0</v>
      </c>
      <c r="X32" s="1039">
        <f>O32*'Building Info &amp; Assumptions'!$B$89+P32*'Building Info &amp; Assumptions'!$B$90+Q32*'Building Info &amp; Assumptions'!$B$91+R32*'Building Info &amp; Assumptions'!$B$92+S32*'Building Info &amp; Assumptions'!$B$93+T32*'Building Info &amp; Assumptions'!$B$94+U32*'Building Info &amp; Assumptions'!$B$95+V32*'Building Info &amp; Assumptions'!$B$96</f>
        <v>0</v>
      </c>
      <c r="Y32" s="50"/>
      <c r="Z32" s="232">
        <f>IFERROR(VLOOKUP(C32,'Drop Down Lists'!$AZ$2:$BA$46,2,FALSE),0)</f>
        <v>0</v>
      </c>
      <c r="AA32" s="1055"/>
      <c r="AB32" s="1056"/>
      <c r="AC32" s="1042">
        <f t="shared" si="1"/>
        <v>0</v>
      </c>
      <c r="AD32" s="1043">
        <f>AB32*(O32*'Building Info &amp; Assumptions'!$B$89+P32*'Building Info &amp; Assumptions'!$B$90+Q32*'Building Info &amp; Assumptions'!$B$91+R32*'Building Info &amp; Assumptions'!$B$92+S32*'Building Info &amp; Assumptions'!$B$93+T32*'Building Info &amp; Assumptions'!$B$94+U32*'Building Info &amp; Assumptions'!$B$95+V32*'Building Info &amp; Assumptions'!$B$96)</f>
        <v>0</v>
      </c>
      <c r="AE32" s="1044" t="str">
        <f t="shared" ca="1" si="2"/>
        <v>1 to 5</v>
      </c>
      <c r="AF32" s="235">
        <f t="shared" ca="1" si="3"/>
        <v>-2024</v>
      </c>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row>
    <row r="33" spans="2:132" s="102" customFormat="1" ht="40.5" customHeight="1">
      <c r="B33" s="95"/>
      <c r="C33" s="588"/>
      <c r="D33" s="588"/>
      <c r="E33" s="588"/>
      <c r="F33" s="588"/>
      <c r="G33" s="588"/>
      <c r="H33" s="588"/>
      <c r="I33" s="716"/>
      <c r="J33" s="50"/>
      <c r="K33" s="50"/>
      <c r="L33" s="321"/>
      <c r="M33" s="321"/>
      <c r="N33" s="321"/>
      <c r="O33" s="1038">
        <f>IF(J33="Electricity",K33*'Building Info &amp; Assumptions'!$B$347,0)</f>
        <v>0</v>
      </c>
      <c r="P33" s="1038">
        <f>IF(J33="Natural Gas",K33*'Building Info &amp; Assumptions'!$B$348,0)</f>
        <v>0</v>
      </c>
      <c r="Q33" s="1038">
        <f>IF(J33='Building Info &amp; Assumptions'!$A$349,K33*'Building Info &amp; Assumptions'!$B$349,0)</f>
        <v>0</v>
      </c>
      <c r="R33" s="1038">
        <f>IF(J33='Building Info &amp; Assumptions'!$A$350,K33*'Building Info &amp; Assumptions'!$B$350,0)</f>
        <v>0</v>
      </c>
      <c r="S33" s="1038">
        <f>IF(J33='Building Info &amp; Assumptions'!$A$351,K33*'Building Info &amp; Assumptions'!$B$351,0)</f>
        <v>0</v>
      </c>
      <c r="T33" s="1038">
        <f>IF(J33='Building Info &amp; Assumptions'!$A$352,K33*'Building Info &amp; Assumptions'!$B$352,0)</f>
        <v>0</v>
      </c>
      <c r="U33" s="1038">
        <f>IF(J33='Building Info &amp; Assumptions'!$A$353,K33*'Building Info &amp; Assumptions'!$B$353,0)</f>
        <v>0</v>
      </c>
      <c r="V33" s="1038">
        <f>IF(J33='Building Info &amp; Assumptions'!$A$354,K33*'Building Info &amp; Assumptions'!$B$354,0)</f>
        <v>0</v>
      </c>
      <c r="W33" s="1038">
        <f t="shared" si="0"/>
        <v>0</v>
      </c>
      <c r="X33" s="1039">
        <f>O33*'Building Info &amp; Assumptions'!$B$89+P33*'Building Info &amp; Assumptions'!$B$90+Q33*'Building Info &amp; Assumptions'!$B$91+R33*'Building Info &amp; Assumptions'!$B$92+S33*'Building Info &amp; Assumptions'!$B$93+T33*'Building Info &amp; Assumptions'!$B$94+U33*'Building Info &amp; Assumptions'!$B$95+V33*'Building Info &amp; Assumptions'!$B$96</f>
        <v>0</v>
      </c>
      <c r="Y33" s="50"/>
      <c r="Z33" s="232">
        <f>IFERROR(VLOOKUP(C33,'Drop Down Lists'!$AZ$2:$BA$46,2,FALSE),0)</f>
        <v>0</v>
      </c>
      <c r="AA33" s="1055"/>
      <c r="AB33" s="1056"/>
      <c r="AC33" s="1042">
        <f t="shared" si="1"/>
        <v>0</v>
      </c>
      <c r="AD33" s="1043">
        <f>AB33*(O33*'Building Info &amp; Assumptions'!$B$89+P33*'Building Info &amp; Assumptions'!$B$90+Q33*'Building Info &amp; Assumptions'!$B$91+R33*'Building Info &amp; Assumptions'!$B$92+S33*'Building Info &amp; Assumptions'!$B$93+T33*'Building Info &amp; Assumptions'!$B$94+U33*'Building Info &amp; Assumptions'!$B$95+V33*'Building Info &amp; Assumptions'!$B$96)</f>
        <v>0</v>
      </c>
      <c r="AE33" s="1044" t="str">
        <f t="shared" ca="1" si="2"/>
        <v>1 to 5</v>
      </c>
      <c r="AF33" s="235">
        <f t="shared" ca="1" si="3"/>
        <v>-2024</v>
      </c>
      <c r="AG33" s="45"/>
      <c r="AH33" s="45"/>
      <c r="AI33" s="46"/>
      <c r="AJ33" s="46"/>
      <c r="AK33" s="46"/>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row>
    <row r="34" spans="2:132" ht="40.5" customHeight="1">
      <c r="B34" s="50"/>
      <c r="C34" s="589"/>
      <c r="D34" s="588"/>
      <c r="E34" s="588"/>
      <c r="F34" s="588"/>
      <c r="G34" s="588"/>
      <c r="H34" s="588"/>
      <c r="I34" s="716"/>
      <c r="J34" s="50"/>
      <c r="K34" s="50"/>
      <c r="L34" s="321"/>
      <c r="M34" s="321"/>
      <c r="N34" s="321"/>
      <c r="O34" s="1038">
        <f>IF(J34="Electricity",K34*'Building Info &amp; Assumptions'!$B$347,0)</f>
        <v>0</v>
      </c>
      <c r="P34" s="1038">
        <f>IF(J34="Natural Gas",K34*'Building Info &amp; Assumptions'!$B$348,0)</f>
        <v>0</v>
      </c>
      <c r="Q34" s="1038">
        <f>IF(J34='Building Info &amp; Assumptions'!$A$349,K34*'Building Info &amp; Assumptions'!$B$349,0)</f>
        <v>0</v>
      </c>
      <c r="R34" s="1038">
        <f>IF(J34='Building Info &amp; Assumptions'!$A$350,K34*'Building Info &amp; Assumptions'!$B$350,0)</f>
        <v>0</v>
      </c>
      <c r="S34" s="1038">
        <f>IF(J34='Building Info &amp; Assumptions'!$A$351,K34*'Building Info &amp; Assumptions'!$B$351,0)</f>
        <v>0</v>
      </c>
      <c r="T34" s="1038">
        <f>IF(J34='Building Info &amp; Assumptions'!$A$352,K34*'Building Info &amp; Assumptions'!$B$352,0)</f>
        <v>0</v>
      </c>
      <c r="U34" s="1038">
        <f>IF(J34='Building Info &amp; Assumptions'!$A$353,K34*'Building Info &amp; Assumptions'!$B$353,0)</f>
        <v>0</v>
      </c>
      <c r="V34" s="1038">
        <f>IF(J34='Building Info &amp; Assumptions'!$A$354,K34*'Building Info &amp; Assumptions'!$B$354,0)</f>
        <v>0</v>
      </c>
      <c r="W34" s="1038">
        <f t="shared" si="0"/>
        <v>0</v>
      </c>
      <c r="X34" s="1039">
        <f>O34*'Building Info &amp; Assumptions'!$B$89+P34*'Building Info &amp; Assumptions'!$B$90+Q34*'Building Info &amp; Assumptions'!$B$91+R34*'Building Info &amp; Assumptions'!$B$92+S34*'Building Info &amp; Assumptions'!$B$93+T34*'Building Info &amp; Assumptions'!$B$94+U34*'Building Info &amp; Assumptions'!$B$95+V34*'Building Info &amp; Assumptions'!$B$96</f>
        <v>0</v>
      </c>
      <c r="Y34" s="50"/>
      <c r="Z34" s="232">
        <f>IFERROR(VLOOKUP(C34,'Drop Down Lists'!$AZ$2:$BA$46,2,FALSE),0)</f>
        <v>0</v>
      </c>
      <c r="AA34" s="1055"/>
      <c r="AB34" s="1056"/>
      <c r="AC34" s="1042">
        <f t="shared" si="1"/>
        <v>0</v>
      </c>
      <c r="AD34" s="1043">
        <f>AB34*(O34*'Building Info &amp; Assumptions'!$B$89+P34*'Building Info &amp; Assumptions'!$B$90+Q34*'Building Info &amp; Assumptions'!$B$91+R34*'Building Info &amp; Assumptions'!$B$92+S34*'Building Info &amp; Assumptions'!$B$93+T34*'Building Info &amp; Assumptions'!$B$94+U34*'Building Info &amp; Assumptions'!$B$95+V34*'Building Info &amp; Assumptions'!$B$96)</f>
        <v>0</v>
      </c>
      <c r="AE34" s="1044" t="str">
        <f t="shared" ca="1" si="2"/>
        <v>1 to 5</v>
      </c>
      <c r="AF34" s="235">
        <f t="shared" ca="1" si="3"/>
        <v>-2024</v>
      </c>
      <c r="AG34" s="45"/>
      <c r="AH34" s="45"/>
      <c r="AI34" s="46"/>
      <c r="AJ34" s="46"/>
      <c r="AK34" s="46"/>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row>
    <row r="35" spans="2:132" ht="15" customHeight="1">
      <c r="B35" s="47"/>
      <c r="C35" s="47"/>
      <c r="D35" s="47"/>
      <c r="E35" s="47"/>
      <c r="F35" s="47"/>
      <c r="G35" s="47"/>
      <c r="H35" s="47"/>
      <c r="I35" s="47"/>
      <c r="J35" s="47"/>
      <c r="K35" s="47"/>
      <c r="L35" s="47"/>
      <c r="M35" s="47"/>
      <c r="N35" s="47"/>
      <c r="O35" s="230"/>
      <c r="P35" s="230"/>
      <c r="Q35" s="230"/>
      <c r="R35" s="230"/>
      <c r="S35" s="230"/>
      <c r="T35" s="230"/>
      <c r="U35" s="230"/>
      <c r="V35" s="230"/>
      <c r="W35" s="230"/>
      <c r="X35" s="230"/>
      <c r="Y35" s="47"/>
      <c r="Z35" s="47"/>
      <c r="AA35" s="47"/>
      <c r="AB35" s="47"/>
      <c r="AC35" s="47"/>
      <c r="AD35" s="47"/>
      <c r="AE35" s="47"/>
      <c r="AF35" s="230"/>
      <c r="AG35" s="47"/>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row>
    <row r="36" spans="2:132" ht="14.25" customHeight="1">
      <c r="B36" s="8"/>
      <c r="C36" s="8"/>
      <c r="D36" s="8"/>
      <c r="E36" s="8"/>
      <c r="F36" s="49"/>
      <c r="G36" s="8"/>
      <c r="H36" s="49"/>
      <c r="I36" s="49"/>
      <c r="J36" s="49"/>
      <c r="K36" s="49"/>
      <c r="L36" s="49"/>
      <c r="M36" s="49"/>
      <c r="N36" s="49"/>
      <c r="O36" s="12"/>
      <c r="P36" s="12"/>
      <c r="Q36" s="12"/>
      <c r="R36" s="12"/>
      <c r="S36" s="12"/>
      <c r="T36" s="12"/>
      <c r="U36" s="12"/>
      <c r="V36" s="12"/>
      <c r="W36" s="12"/>
      <c r="X36" s="12"/>
      <c r="Y36" s="49"/>
      <c r="Z36" s="8"/>
      <c r="AA36" s="8"/>
      <c r="AB36" s="8"/>
      <c r="AC36" s="8"/>
      <c r="AD36" s="8"/>
      <c r="AE36" s="8"/>
      <c r="AF36" s="233"/>
      <c r="AG36" s="8"/>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row>
    <row r="37" spans="2:132" ht="15.75" customHeight="1">
      <c r="B37" s="45"/>
      <c r="C37" s="45"/>
      <c r="D37" s="45"/>
      <c r="E37" s="45"/>
      <c r="F37" s="114"/>
      <c r="G37" s="45"/>
      <c r="H37" s="48"/>
      <c r="I37" s="48"/>
      <c r="J37" s="48"/>
      <c r="K37" s="48"/>
      <c r="L37" s="48"/>
      <c r="M37" s="48"/>
      <c r="N37" s="48"/>
      <c r="O37" s="231"/>
      <c r="P37" s="231"/>
      <c r="Q37" s="231"/>
      <c r="R37" s="231"/>
      <c r="S37" s="231"/>
      <c r="T37" s="231"/>
      <c r="U37" s="231"/>
      <c r="V37" s="231"/>
      <c r="W37" s="231"/>
      <c r="X37" s="231"/>
      <c r="Y37" s="48"/>
      <c r="Z37" s="45"/>
      <c r="AA37" s="45"/>
      <c r="AB37" s="45"/>
      <c r="AC37" s="45"/>
      <c r="AD37" s="45"/>
      <c r="AE37" s="45"/>
      <c r="AF37" s="229"/>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row>
    <row r="38" spans="2:132">
      <c r="B38" s="46"/>
      <c r="C38" s="46"/>
      <c r="D38" s="46"/>
      <c r="E38" s="46"/>
      <c r="F38" s="114"/>
      <c r="G38" s="45"/>
      <c r="H38" s="114"/>
      <c r="I38" s="114"/>
      <c r="J38" s="114"/>
      <c r="K38" s="114"/>
      <c r="L38" s="114"/>
      <c r="M38" s="114"/>
      <c r="N38" s="114"/>
      <c r="O38" s="11"/>
      <c r="P38" s="11"/>
      <c r="Q38" s="11"/>
      <c r="R38" s="11"/>
      <c r="S38" s="11"/>
      <c r="T38" s="11"/>
      <c r="U38" s="11"/>
      <c r="V38" s="11"/>
      <c r="W38" s="11"/>
      <c r="X38" s="11"/>
      <c r="Y38" s="114"/>
      <c r="Z38" s="45"/>
      <c r="AA38" s="45"/>
      <c r="AB38" s="45"/>
      <c r="AC38" s="45"/>
      <c r="AD38" s="45"/>
      <c r="AE38" s="45"/>
      <c r="AF38" s="229"/>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3"/>
      <c r="BO38" s="3"/>
      <c r="BP38" s="3"/>
      <c r="BQ38" s="3"/>
      <c r="BR38" s="3"/>
      <c r="BS38" s="3"/>
      <c r="BT38" s="3"/>
      <c r="BU38" s="3"/>
      <c r="BV38" s="46"/>
      <c r="BW38" s="45"/>
      <c r="BX38" s="45"/>
      <c r="BY38" s="45"/>
      <c r="BZ38" s="106"/>
      <c r="CA38" s="106"/>
      <c r="CB38" s="45"/>
      <c r="CC38" s="46"/>
      <c r="CD38" s="2"/>
      <c r="CE38" s="2"/>
      <c r="CF38" s="3"/>
      <c r="CG38" s="46"/>
      <c r="CH38" s="45"/>
      <c r="CI38" s="45"/>
      <c r="CJ38" s="106"/>
      <c r="CK38" s="45"/>
      <c r="CL38" s="46"/>
      <c r="CM38" s="2"/>
      <c r="CN38" s="2"/>
      <c r="CO38" s="3"/>
      <c r="CP38" s="46"/>
      <c r="CQ38" s="45"/>
      <c r="CR38" s="45"/>
      <c r="CS38" s="45"/>
      <c r="CT38" s="106"/>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row>
    <row r="39" spans="2:132" ht="21">
      <c r="B39" s="46"/>
      <c r="C39" s="46"/>
      <c r="D39" s="46"/>
      <c r="E39" s="46"/>
      <c r="F39" s="114"/>
      <c r="G39" s="4"/>
      <c r="H39" s="114"/>
      <c r="I39" s="114"/>
      <c r="J39" s="114"/>
      <c r="K39" s="114"/>
      <c r="L39" s="114"/>
      <c r="M39" s="114"/>
      <c r="N39" s="114"/>
      <c r="O39" s="11"/>
      <c r="P39" s="11"/>
      <c r="Q39" s="11"/>
      <c r="R39" s="11"/>
      <c r="S39" s="11"/>
      <c r="T39" s="11"/>
      <c r="U39" s="11"/>
      <c r="V39" s="11"/>
      <c r="W39" s="11"/>
      <c r="X39" s="11"/>
      <c r="Y39" s="114"/>
      <c r="Z39" s="4"/>
      <c r="AA39" s="4"/>
      <c r="AB39" s="4"/>
      <c r="AC39" s="4"/>
      <c r="AD39" s="4"/>
      <c r="AE39" s="4"/>
      <c r="AF39" s="234"/>
      <c r="AG39" s="4"/>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45"/>
      <c r="CY39" s="45"/>
      <c r="CZ39" s="45"/>
      <c r="DA39" s="45"/>
      <c r="DB39" s="45"/>
      <c r="DC39" s="45"/>
      <c r="DD39" s="45"/>
      <c r="DE39" s="45"/>
      <c r="DF39" s="45"/>
      <c r="DG39" s="45"/>
      <c r="DH39" s="106"/>
      <c r="DI39" s="106"/>
      <c r="DJ39" s="106"/>
      <c r="DK39" s="106"/>
      <c r="DL39" s="106"/>
      <c r="DM39" s="106"/>
      <c r="DN39" s="106"/>
      <c r="DO39" s="106"/>
      <c r="DP39" s="106"/>
      <c r="DQ39" s="106"/>
      <c r="DR39" s="106"/>
      <c r="DS39" s="106"/>
      <c r="DT39" s="106"/>
      <c r="DU39" s="106"/>
      <c r="DV39" s="106"/>
      <c r="DW39" s="106"/>
      <c r="DX39" s="106"/>
      <c r="DY39" s="106"/>
      <c r="DZ39" s="106"/>
      <c r="EA39" s="106"/>
      <c r="EB39" s="106"/>
    </row>
    <row r="40" spans="2:132" ht="21" customHeight="1">
      <c r="B40" s="45"/>
      <c r="C40" s="45"/>
      <c r="D40" s="45"/>
      <c r="E40" s="45"/>
      <c r="F40" s="114"/>
      <c r="G40" s="45"/>
      <c r="H40" s="114"/>
      <c r="I40" s="114"/>
      <c r="J40" s="114"/>
      <c r="K40" s="114"/>
      <c r="L40" s="114"/>
      <c r="M40" s="114"/>
      <c r="N40" s="114"/>
      <c r="O40" s="11"/>
      <c r="P40" s="11"/>
      <c r="Q40" s="11"/>
      <c r="R40" s="11"/>
      <c r="S40" s="11"/>
      <c r="T40" s="11"/>
      <c r="U40" s="11"/>
      <c r="V40" s="11"/>
      <c r="W40" s="11"/>
      <c r="X40" s="11"/>
      <c r="Y40" s="114"/>
      <c r="Z40" s="45"/>
      <c r="AA40" s="45"/>
      <c r="AB40" s="45"/>
      <c r="AC40" s="45"/>
      <c r="AD40" s="45"/>
      <c r="AE40" s="45"/>
      <c r="AF40" s="229"/>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row>
    <row r="41" spans="2:132">
      <c r="B41" s="45"/>
      <c r="C41" s="45"/>
      <c r="D41" s="45"/>
      <c r="E41" s="45"/>
      <c r="F41" s="45"/>
      <c r="G41" s="45"/>
      <c r="H41" s="45"/>
      <c r="I41" s="45"/>
      <c r="J41" s="45"/>
      <c r="K41" s="45"/>
      <c r="L41" s="45"/>
      <c r="M41" s="45"/>
      <c r="N41" s="45"/>
      <c r="O41" s="229"/>
      <c r="P41" s="229"/>
      <c r="Q41" s="229"/>
      <c r="R41" s="229"/>
      <c r="S41" s="229"/>
      <c r="T41" s="229"/>
      <c r="U41" s="229"/>
      <c r="V41" s="229"/>
      <c r="W41" s="229"/>
      <c r="X41" s="229"/>
      <c r="Y41" s="5"/>
      <c r="Z41" s="45"/>
      <c r="AA41" s="45"/>
      <c r="AB41" s="45"/>
      <c r="AC41" s="45"/>
      <c r="AD41" s="45"/>
      <c r="AE41" s="45"/>
      <c r="AF41" s="229"/>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row>
    <row r="42" spans="2:132">
      <c r="B42" s="45"/>
      <c r="C42" s="45"/>
      <c r="D42" s="45"/>
      <c r="E42" s="45"/>
      <c r="F42" s="45"/>
      <c r="G42" s="45"/>
      <c r="H42" s="45"/>
      <c r="I42" s="45"/>
      <c r="J42" s="45"/>
      <c r="K42" s="45"/>
      <c r="L42" s="45"/>
      <c r="M42" s="45"/>
      <c r="N42" s="45"/>
      <c r="O42" s="229"/>
      <c r="P42" s="229"/>
      <c r="Q42" s="229"/>
      <c r="R42" s="229"/>
      <c r="S42" s="229"/>
      <c r="T42" s="229"/>
      <c r="U42" s="229"/>
      <c r="V42" s="229"/>
      <c r="W42" s="229"/>
      <c r="X42" s="229"/>
      <c r="Y42" s="45"/>
      <c r="Z42" s="45"/>
      <c r="AA42" s="45"/>
      <c r="AB42" s="45"/>
      <c r="AC42" s="45"/>
      <c r="AD42" s="45"/>
      <c r="AE42" s="45"/>
      <c r="AF42" s="229"/>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row>
    <row r="43" spans="2:132">
      <c r="B43" s="45"/>
      <c r="C43" s="45"/>
      <c r="D43" s="45"/>
      <c r="E43" s="45"/>
      <c r="F43" s="45"/>
      <c r="G43" s="45"/>
      <c r="H43" s="45"/>
      <c r="I43" s="45"/>
      <c r="J43" s="45"/>
      <c r="K43" s="45"/>
      <c r="L43" s="45"/>
      <c r="M43" s="45"/>
      <c r="N43" s="45"/>
      <c r="O43" s="229"/>
      <c r="P43" s="229"/>
      <c r="Q43" s="229"/>
      <c r="R43" s="229"/>
      <c r="S43" s="229"/>
      <c r="T43" s="229"/>
      <c r="U43" s="229"/>
      <c r="V43" s="229"/>
      <c r="W43" s="229"/>
      <c r="X43" s="229"/>
      <c r="Y43" s="45"/>
      <c r="Z43" s="45"/>
      <c r="AA43" s="45"/>
      <c r="AB43" s="45"/>
      <c r="AC43" s="45"/>
      <c r="AD43" s="45"/>
      <c r="AE43" s="45"/>
      <c r="AF43" s="229"/>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row>
    <row r="44" spans="2:132">
      <c r="B44" s="45"/>
      <c r="C44" s="45"/>
      <c r="D44" s="45"/>
      <c r="E44" s="45"/>
      <c r="F44" s="45"/>
      <c r="G44" s="45"/>
      <c r="H44" s="45"/>
      <c r="I44" s="45"/>
      <c r="J44" s="45"/>
      <c r="K44" s="45"/>
      <c r="L44" s="45"/>
      <c r="M44" s="45"/>
      <c r="N44" s="45"/>
      <c r="O44" s="229"/>
      <c r="P44" s="229"/>
      <c r="Q44" s="229"/>
      <c r="R44" s="229"/>
      <c r="S44" s="229"/>
      <c r="T44" s="229"/>
      <c r="U44" s="229"/>
      <c r="V44" s="229"/>
      <c r="W44" s="229"/>
      <c r="X44" s="229"/>
      <c r="Y44" s="45"/>
      <c r="Z44" s="45"/>
      <c r="AA44" s="45"/>
      <c r="AB44" s="45"/>
      <c r="AC44" s="45"/>
      <c r="AD44" s="45"/>
      <c r="AE44" s="45"/>
      <c r="AF44" s="229"/>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row>
    <row r="45" spans="2:132">
      <c r="B45" s="45"/>
      <c r="C45" s="45"/>
      <c r="D45" s="45"/>
      <c r="E45" s="45"/>
      <c r="F45" s="45"/>
      <c r="G45" s="45"/>
      <c r="H45" s="45"/>
      <c r="I45" s="45"/>
      <c r="J45" s="45"/>
      <c r="K45" s="45"/>
      <c r="L45" s="45"/>
      <c r="M45" s="45"/>
      <c r="N45" s="45"/>
      <c r="O45" s="229"/>
      <c r="P45" s="229"/>
      <c r="Q45" s="229"/>
      <c r="R45" s="229"/>
      <c r="S45" s="229"/>
      <c r="T45" s="229"/>
      <c r="U45" s="229"/>
      <c r="V45" s="229"/>
      <c r="W45" s="229"/>
      <c r="X45" s="229"/>
      <c r="Y45" s="45"/>
      <c r="Z45" s="45"/>
      <c r="AA45" s="45"/>
      <c r="AB45" s="45"/>
      <c r="AC45" s="45"/>
      <c r="AD45" s="45"/>
      <c r="AE45" s="45"/>
      <c r="AF45" s="229"/>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row>
    <row r="46" spans="2:132">
      <c r="B46" s="45"/>
      <c r="C46" s="45"/>
      <c r="D46" s="45"/>
      <c r="E46" s="45"/>
      <c r="F46" s="45"/>
      <c r="G46" s="45"/>
      <c r="H46" s="45"/>
      <c r="I46" s="45"/>
      <c r="J46" s="45"/>
      <c r="K46" s="45"/>
      <c r="L46" s="45"/>
      <c r="M46" s="45"/>
      <c r="N46" s="45"/>
      <c r="O46" s="229"/>
      <c r="P46" s="229"/>
      <c r="Q46" s="229"/>
      <c r="R46" s="229"/>
      <c r="S46" s="229"/>
      <c r="T46" s="229"/>
      <c r="U46" s="229"/>
      <c r="V46" s="229"/>
      <c r="W46" s="229"/>
      <c r="X46" s="229"/>
      <c r="Y46" s="45"/>
      <c r="Z46" s="45"/>
      <c r="AA46" s="45"/>
      <c r="AB46" s="45"/>
      <c r="AC46" s="45"/>
      <c r="AD46" s="45"/>
      <c r="AE46" s="45"/>
      <c r="AF46" s="229"/>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row>
    <row r="47" spans="2:132">
      <c r="B47" s="45"/>
      <c r="C47" s="45"/>
      <c r="D47" s="45"/>
      <c r="E47" s="45"/>
      <c r="F47" s="45"/>
      <c r="G47" s="45"/>
      <c r="H47" s="45"/>
      <c r="I47" s="45"/>
      <c r="J47" s="45"/>
      <c r="K47" s="45"/>
      <c r="L47" s="45"/>
      <c r="M47" s="45"/>
      <c r="N47" s="45"/>
      <c r="O47" s="229"/>
      <c r="P47" s="229"/>
      <c r="Q47" s="229"/>
      <c r="R47" s="229"/>
      <c r="S47" s="229"/>
      <c r="T47" s="229"/>
      <c r="U47" s="229"/>
      <c r="V47" s="229"/>
      <c r="W47" s="229"/>
      <c r="X47" s="229"/>
      <c r="Y47" s="6"/>
      <c r="Z47" s="45"/>
      <c r="AA47" s="45"/>
      <c r="AB47" s="45"/>
      <c r="AC47" s="45"/>
      <c r="AD47" s="45"/>
      <c r="AE47" s="45"/>
      <c r="AF47" s="229"/>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row>
    <row r="48" spans="2:132">
      <c r="B48" s="106"/>
      <c r="C48" s="106"/>
      <c r="D48" s="106"/>
      <c r="E48" s="106"/>
      <c r="F48" s="106"/>
      <c r="G48" s="106"/>
      <c r="H48" s="45"/>
      <c r="I48" s="45"/>
      <c r="J48" s="45"/>
      <c r="K48" s="45"/>
      <c r="L48" s="45"/>
      <c r="M48" s="45"/>
      <c r="N48" s="45"/>
      <c r="O48" s="229"/>
      <c r="P48" s="229"/>
      <c r="Q48" s="229"/>
      <c r="R48" s="229"/>
      <c r="S48" s="229"/>
      <c r="T48" s="229"/>
      <c r="U48" s="229"/>
      <c r="V48" s="229"/>
      <c r="W48" s="229"/>
      <c r="X48" s="229"/>
      <c r="Y48" s="45"/>
      <c r="Z48" s="106"/>
      <c r="AA48" s="106"/>
      <c r="AG48" s="106"/>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row>
    <row r="57" spans="34:54">
      <c r="AH57" s="45"/>
      <c r="AI57" s="45"/>
      <c r="AJ57" s="45"/>
      <c r="AK57" s="106"/>
      <c r="AL57" s="106"/>
      <c r="AM57" s="106"/>
      <c r="AN57" s="106"/>
      <c r="AO57" s="106"/>
      <c r="AX57" s="106"/>
      <c r="AY57" s="106"/>
      <c r="AZ57" s="45"/>
      <c r="BA57" s="45"/>
      <c r="BB57" s="45"/>
    </row>
    <row r="58" spans="34:54">
      <c r="AH58" s="45"/>
      <c r="AI58" s="45"/>
      <c r="AJ58" s="45"/>
      <c r="AK58" s="106"/>
      <c r="AL58" s="106"/>
      <c r="AM58" s="106"/>
      <c r="AN58" s="106"/>
      <c r="AO58" s="106"/>
      <c r="AX58" s="106"/>
      <c r="AY58" s="106"/>
      <c r="AZ58" s="45"/>
      <c r="BA58" s="45"/>
      <c r="BB58" s="45"/>
    </row>
    <row r="59" spans="34:54">
      <c r="AH59" s="45"/>
      <c r="AI59" s="45"/>
      <c r="AJ59" s="45"/>
      <c r="AK59" s="106"/>
      <c r="AL59" s="106"/>
      <c r="AM59" s="106"/>
      <c r="AN59" s="106"/>
      <c r="AO59" s="106"/>
      <c r="AX59" s="106"/>
      <c r="AY59" s="106"/>
      <c r="AZ59" s="45"/>
      <c r="BA59" s="45"/>
      <c r="BB59" s="45"/>
    </row>
    <row r="60" spans="34:54">
      <c r="AH60" s="45"/>
      <c r="AI60" s="45"/>
      <c r="AJ60" s="106"/>
      <c r="AK60" s="106"/>
      <c r="AL60" s="106"/>
      <c r="AM60" s="106"/>
      <c r="AN60" s="106"/>
      <c r="AO60" s="106"/>
      <c r="AX60" s="106"/>
      <c r="AY60" s="106"/>
      <c r="AZ60" s="45"/>
      <c r="BA60" s="45"/>
      <c r="BB60" s="106"/>
    </row>
    <row r="61" spans="34:54">
      <c r="AH61" s="45"/>
      <c r="AI61" s="45"/>
      <c r="AJ61" s="106"/>
      <c r="AK61" s="106"/>
      <c r="AL61" s="106"/>
      <c r="AM61" s="106"/>
      <c r="AN61" s="106"/>
      <c r="AO61" s="106"/>
      <c r="AX61" s="106"/>
      <c r="AY61" s="106"/>
      <c r="AZ61" s="45"/>
      <c r="BA61" s="45"/>
      <c r="BB61" s="106"/>
    </row>
    <row r="62" spans="34:54">
      <c r="AH62" s="45"/>
      <c r="AI62" s="45"/>
      <c r="AJ62" s="106"/>
      <c r="AK62" s="106"/>
      <c r="AL62" s="106"/>
      <c r="AM62" s="106"/>
      <c r="AN62" s="106"/>
      <c r="AO62" s="106"/>
      <c r="AX62" s="106"/>
      <c r="AY62" s="106"/>
      <c r="AZ62" s="45"/>
      <c r="BA62" s="45"/>
      <c r="BB62" s="106"/>
    </row>
    <row r="63" spans="34:54">
      <c r="AH63" s="45"/>
      <c r="AI63" s="45"/>
      <c r="AJ63" s="106"/>
      <c r="AK63" s="106"/>
      <c r="AL63" s="106"/>
      <c r="AM63" s="106"/>
      <c r="AN63" s="106"/>
      <c r="AO63" s="106"/>
      <c r="AX63" s="106"/>
      <c r="AY63" s="106"/>
      <c r="AZ63" s="45"/>
      <c r="BA63" s="45"/>
      <c r="BB63" s="106"/>
    </row>
  </sheetData>
  <mergeCells count="14">
    <mergeCell ref="B1:N6"/>
    <mergeCell ref="B8:AF8"/>
    <mergeCell ref="AC9:AD9"/>
    <mergeCell ref="AE9:AF9"/>
    <mergeCell ref="B9:H9"/>
    <mergeCell ref="J9:K9"/>
    <mergeCell ref="L9:N9"/>
    <mergeCell ref="O9:W9"/>
    <mergeCell ref="Y9:AB9"/>
    <mergeCell ref="AB2:AD2"/>
    <mergeCell ref="AB3:AD3"/>
    <mergeCell ref="AB4:AD4"/>
    <mergeCell ref="AB5:AD5"/>
    <mergeCell ref="AB6:AD6"/>
  </mergeCells>
  <conditionalFormatting sqref="AG36">
    <cfRule type="iconSet" priority="7">
      <iconSet iconSet="3Arrows">
        <cfvo type="percent" val="0"/>
        <cfvo type="percent" val="33"/>
        <cfvo type="percent" val="67"/>
      </iconSet>
    </cfRule>
  </conditionalFormatting>
  <conditionalFormatting sqref="AG35">
    <cfRule type="iconSet" priority="9">
      <iconSet iconSet="3Arrows">
        <cfvo type="percent" val="0"/>
        <cfvo type="percent" val="33"/>
        <cfvo type="percent" val="67"/>
      </iconSet>
    </cfRule>
  </conditionalFormatting>
  <dataValidations count="1">
    <dataValidation type="decimal" allowBlank="1" showInputMessage="1" showErrorMessage="1" sqref="K11:K20" xr:uid="{00000000-0002-0000-0600-000000000000}">
      <formula1>0</formula1>
      <formula2>1</formula2>
    </dataValidation>
  </dataValidations>
  <pageMargins left="0.7" right="0.7" top="0.75" bottom="0.75" header="0.3" footer="0.3"/>
  <pageSetup scale="10" orientation="landscape"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1000000}">
          <x14:formula1>
            <xm:f>'Drop Down Lists'!$AJ$2:$AJ$15</xm:f>
          </x14:formula1>
          <xm:sqref>B11:B34</xm:sqref>
        </x14:dataValidation>
        <x14:dataValidation type="list" allowBlank="1" showInputMessage="1" showErrorMessage="1" xr:uid="{00000000-0002-0000-0600-000002000000}">
          <x14:formula1>
            <xm:f>'Drop Down Lists'!$AZ$2:$AZ$46</xm:f>
          </x14:formula1>
          <xm:sqref>C11:C34</xm:sqref>
        </x14:dataValidation>
        <x14:dataValidation type="list" allowBlank="1" showInputMessage="1" showErrorMessage="1" xr:uid="{1811148D-5EF4-42A6-BBF8-37118C0A7735}">
          <x14:formula1>
            <xm:f>'Drop Down Lists'!$BB$2:$BB$5</xm:f>
          </x14:formula1>
          <xm:sqref>N11:N34</xm:sqref>
        </x14:dataValidation>
        <x14:dataValidation type="list" allowBlank="1" showInputMessage="1" showErrorMessage="1" xr:uid="{3C07366C-A833-4DFA-9E8D-59A91B5CEA29}">
          <x14:formula1>
            <xm:f>'Drop Down Lists'!$BC$2:$BC$7</xm:f>
          </x14:formula1>
          <xm:sqref>M11:M34</xm:sqref>
        </x14:dataValidation>
        <x14:dataValidation type="list" allowBlank="1" showInputMessage="1" showErrorMessage="1" xr:uid="{4EEF00CB-DBB2-4E1D-9DCB-3641C0BA0BAE}">
          <x14:formula1>
            <xm:f>'Drop Down Lists'!$C$2:$C$11</xm:f>
          </x14:formula1>
          <xm:sqref>K11:K20</xm:sqref>
        </x14:dataValidation>
        <x14:dataValidation type="list" allowBlank="1" showInputMessage="1" showErrorMessage="1" xr:uid="{4BB43814-89B5-42E5-A67B-858F988D8DB3}">
          <x14:formula1>
            <xm:f>'Drop Down Lists'!$N$3:$N$4</xm:f>
          </x14:formula1>
          <xm:sqref>I11:I34</xm:sqref>
        </x14:dataValidation>
        <x14:dataValidation type="list" allowBlank="1" showInputMessage="1" showErrorMessage="1" xr:uid="{A867968B-702A-4C34-A018-257BB4A0DAED}">
          <x14:formula1>
            <xm:f>'Drop Down Lists'!$C$2:$C$12</xm:f>
          </x14:formula1>
          <xm:sqref>J11:J34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92D050"/>
    <pageSetUpPr fitToPage="1"/>
  </sheetPr>
  <dimension ref="A1:CL164"/>
  <sheetViews>
    <sheetView showGridLines="0" zoomScale="70" zoomScaleNormal="70" zoomScaleSheetLayoutView="100" workbookViewId="0">
      <selection activeCell="P28" sqref="P28"/>
    </sheetView>
  </sheetViews>
  <sheetFormatPr defaultColWidth="9.28515625" defaultRowHeight="12.95" outlineLevelRow="1" outlineLevelCol="1"/>
  <cols>
    <col min="1" max="1" width="42.7109375" style="15" customWidth="1"/>
    <col min="2" max="2" width="15.140625" style="15" customWidth="1"/>
    <col min="3" max="3" width="13.7109375" style="15" customWidth="1"/>
    <col min="4" max="5" width="12.140625" style="15" customWidth="1"/>
    <col min="6" max="6" width="17.140625" style="15" customWidth="1"/>
    <col min="7" max="7" width="12.28515625" style="16" customWidth="1"/>
    <col min="8" max="8" width="12.42578125" style="18" customWidth="1"/>
    <col min="9" max="10" width="14.28515625" style="18" customWidth="1"/>
    <col min="11" max="12" width="14.28515625" style="18" customWidth="1" outlineLevel="1"/>
    <col min="13" max="13" width="15.7109375" style="18" customWidth="1" outlineLevel="1"/>
    <col min="14" max="15" width="13.140625" style="18" customWidth="1"/>
    <col min="16" max="16" width="12.42578125" style="18" customWidth="1"/>
    <col min="17" max="17" width="13.28515625" style="17" customWidth="1"/>
    <col min="18" max="18" width="12.28515625" style="17" customWidth="1"/>
    <col min="19" max="19" width="13.140625" style="17" customWidth="1"/>
    <col min="20" max="20" width="10.7109375" style="17" customWidth="1"/>
    <col min="21" max="21" width="13.7109375" style="17" customWidth="1"/>
    <col min="22" max="22" width="14.42578125" style="17" customWidth="1"/>
    <col min="23" max="23" width="10.7109375" style="16" customWidth="1"/>
    <col min="24" max="24" width="10.7109375" style="252" customWidth="1"/>
    <col min="25" max="25" width="7.42578125" style="15" customWidth="1"/>
    <col min="26" max="26" width="3.42578125" style="15" customWidth="1"/>
    <col min="27" max="27" width="16.85546875" style="15" hidden="1" customWidth="1" outlineLevel="1"/>
    <col min="28" max="28" width="11.7109375" style="15" hidden="1" customWidth="1" outlineLevel="1"/>
    <col min="29" max="29" width="10.42578125" style="14" hidden="1" customWidth="1" outlineLevel="1"/>
    <col min="30" max="30" width="11.28515625" style="13" hidden="1" customWidth="1" outlineLevel="1"/>
    <col min="31" max="31" width="15.42578125" style="13" hidden="1" customWidth="1" outlineLevel="1"/>
    <col min="32" max="32" width="14.42578125" style="13" hidden="1" customWidth="1" outlineLevel="1"/>
    <col min="33" max="34" width="11.42578125" style="13" hidden="1" customWidth="1" outlineLevel="1"/>
    <col min="35" max="36" width="9.7109375" style="13" hidden="1" customWidth="1" outlineLevel="1"/>
    <col min="37" max="39" width="10.140625" style="13" hidden="1" customWidth="1" outlineLevel="1"/>
    <col min="40" max="46" width="9.42578125" style="13" hidden="1" customWidth="1" outlineLevel="1"/>
    <col min="47" max="48" width="9.28515625" style="13" hidden="1" customWidth="1" outlineLevel="1"/>
    <col min="49" max="57" width="9.42578125" style="13" hidden="1" customWidth="1" outlineLevel="1"/>
    <col min="58" max="58" width="9.28515625" style="13" bestFit="1" customWidth="1" collapsed="1"/>
    <col min="59" max="65" width="9" style="13" hidden="1" customWidth="1" outlineLevel="1"/>
    <col min="66" max="66" width="9.28515625" style="13" bestFit="1" customWidth="1" collapsed="1"/>
    <col min="67" max="68" width="9.42578125" style="13" hidden="1" customWidth="1" outlineLevel="1"/>
    <col min="69" max="69" width="9.28515625" style="13" bestFit="1" customWidth="1" collapsed="1"/>
    <col min="70" max="70" width="11.7109375" style="104" hidden="1" customWidth="1" outlineLevel="1"/>
    <col min="71" max="71" width="10.42578125" style="13" hidden="1" customWidth="1" outlineLevel="1"/>
    <col min="72" max="72" width="9.28515625" style="13" bestFit="1" customWidth="1" collapsed="1"/>
    <col min="73" max="76" width="9.42578125" style="13" hidden="1" customWidth="1" outlineLevel="1"/>
    <col min="77" max="77" width="9.28515625" style="13" bestFit="1" customWidth="1" collapsed="1"/>
    <col min="78" max="80" width="9.42578125" style="13" hidden="1" customWidth="1" outlineLevel="1"/>
    <col min="81" max="84" width="9.28515625" style="13" hidden="1" customWidth="1" outlineLevel="1"/>
    <col min="85" max="85" width="9.28515625" style="13" customWidth="1" collapsed="1"/>
    <col min="86" max="89" width="9.28515625" style="13" hidden="1" customWidth="1" outlineLevel="1"/>
    <col min="90" max="90" width="9.28515625" style="13" collapsed="1"/>
    <col min="91" max="16384" width="9.28515625" style="13"/>
  </cols>
  <sheetData>
    <row r="1" spans="1:79" s="748" customFormat="1" ht="14.1" thickBot="1">
      <c r="G1" s="749"/>
      <c r="H1" s="750"/>
      <c r="I1" s="750"/>
      <c r="J1" s="750"/>
      <c r="K1" s="750"/>
      <c r="L1" s="750"/>
      <c r="M1" s="750"/>
      <c r="N1" s="750"/>
      <c r="O1" s="750"/>
      <c r="P1" s="750"/>
      <c r="Q1" s="751"/>
      <c r="R1" s="751"/>
      <c r="S1" s="751"/>
      <c r="T1" s="751"/>
      <c r="U1" s="751"/>
      <c r="V1" s="751"/>
      <c r="W1" s="749"/>
      <c r="X1" s="749"/>
      <c r="AC1" s="752"/>
    </row>
    <row r="2" spans="1:79" s="104" customFormat="1" ht="14.1" thickBot="1">
      <c r="A2" s="886" t="s">
        <v>429</v>
      </c>
      <c r="B2" s="887"/>
      <c r="C2" s="887"/>
      <c r="D2" s="887"/>
      <c r="E2" s="887"/>
      <c r="F2" s="887"/>
      <c r="G2" s="887"/>
      <c r="H2" s="887"/>
      <c r="I2" s="887"/>
      <c r="J2" s="887"/>
      <c r="K2" s="887"/>
      <c r="L2" s="887"/>
      <c r="M2" s="887"/>
      <c r="N2" s="887"/>
      <c r="O2" s="887"/>
      <c r="P2" s="887"/>
      <c r="Q2" s="887"/>
      <c r="R2" s="887"/>
      <c r="S2" s="887"/>
      <c r="T2" s="887"/>
      <c r="U2" s="887"/>
      <c r="V2" s="887"/>
      <c r="W2" s="888"/>
      <c r="X2" s="174"/>
      <c r="Y2" s="15"/>
      <c r="Z2" s="15"/>
      <c r="AA2" s="15"/>
      <c r="AB2" s="15"/>
      <c r="AC2" s="255"/>
    </row>
    <row r="3" spans="1:79" s="104" customFormat="1">
      <c r="G3" s="252"/>
      <c r="H3" s="253"/>
      <c r="I3" s="253"/>
      <c r="J3" s="253"/>
      <c r="K3" s="253"/>
      <c r="L3" s="253"/>
      <c r="M3" s="253"/>
      <c r="N3" s="253"/>
      <c r="O3" s="253"/>
      <c r="P3" s="253"/>
      <c r="Q3" s="254"/>
      <c r="R3" s="254"/>
      <c r="S3" s="254"/>
      <c r="T3" s="254"/>
      <c r="U3" s="254"/>
      <c r="V3" s="254"/>
      <c r="W3" s="252"/>
      <c r="X3" s="252"/>
      <c r="AC3" s="255"/>
    </row>
    <row r="4" spans="1:79" s="104" customFormat="1" ht="18.95">
      <c r="A4" s="800" t="s">
        <v>430</v>
      </c>
      <c r="B4" s="800"/>
      <c r="C4" s="800"/>
      <c r="D4" s="800"/>
      <c r="E4" s="800"/>
      <c r="F4" s="800"/>
      <c r="G4" s="800"/>
      <c r="H4" s="800"/>
      <c r="I4" s="800"/>
      <c r="J4" s="800"/>
      <c r="K4" s="800"/>
      <c r="L4" s="800"/>
      <c r="M4" s="800"/>
      <c r="N4" s="800"/>
      <c r="O4" s="800"/>
      <c r="P4" s="800"/>
      <c r="Q4" s="800"/>
      <c r="R4" s="800"/>
      <c r="S4" s="800"/>
      <c r="T4" s="800"/>
      <c r="U4" s="800"/>
      <c r="V4" s="800"/>
      <c r="W4" s="800"/>
      <c r="X4" s="98"/>
      <c r="Y4" s="15"/>
      <c r="Z4" s="15"/>
      <c r="AA4" s="15"/>
      <c r="AB4" s="15"/>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row>
    <row r="5" spans="1:79" s="104" customFormat="1" ht="20.100000000000001" thickBot="1">
      <c r="A5" s="98"/>
      <c r="B5" s="98"/>
      <c r="C5" s="98"/>
      <c r="D5" s="98"/>
      <c r="E5" s="98"/>
      <c r="F5" s="98"/>
      <c r="G5" s="98"/>
      <c r="H5" s="98"/>
      <c r="I5" s="98"/>
      <c r="J5" s="98"/>
      <c r="K5" s="98"/>
      <c r="L5" s="98"/>
      <c r="M5" s="98"/>
      <c r="N5" s="98"/>
      <c r="O5" s="98"/>
      <c r="P5" s="98"/>
      <c r="Q5" s="98"/>
      <c r="R5" s="98"/>
      <c r="S5" s="98"/>
      <c r="T5" s="98"/>
      <c r="U5" s="98"/>
      <c r="V5" s="98"/>
      <c r="W5" s="98"/>
      <c r="X5" s="98"/>
      <c r="Y5" s="15"/>
      <c r="Z5" s="15"/>
      <c r="AA5" s="15"/>
      <c r="AB5" s="15"/>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row>
    <row r="6" spans="1:79" s="129" customFormat="1" ht="15" customHeight="1">
      <c r="A6" s="877" t="s">
        <v>431</v>
      </c>
      <c r="B6" s="878"/>
      <c r="C6" s="878"/>
      <c r="D6" s="878"/>
      <c r="E6" s="878"/>
      <c r="F6" s="878"/>
      <c r="G6" s="878"/>
      <c r="H6" s="878"/>
      <c r="I6" s="878"/>
      <c r="J6" s="878"/>
      <c r="K6" s="878"/>
      <c r="L6" s="878"/>
      <c r="M6" s="878"/>
      <c r="N6" s="878"/>
      <c r="O6" s="878"/>
      <c r="P6" s="878"/>
      <c r="Q6" s="878"/>
      <c r="R6" s="878"/>
      <c r="S6" s="878"/>
      <c r="T6" s="878"/>
      <c r="U6" s="878"/>
      <c r="V6" s="878"/>
      <c r="W6" s="879"/>
      <c r="X6" s="311"/>
      <c r="AA6" s="261" t="s">
        <v>68</v>
      </c>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row>
    <row r="7" spans="1:79" s="129" customFormat="1" ht="15.75" customHeight="1">
      <c r="A7" s="895"/>
      <c r="B7" s="881"/>
      <c r="C7" s="881"/>
      <c r="D7" s="881"/>
      <c r="E7" s="881"/>
      <c r="F7" s="881"/>
      <c r="G7" s="881"/>
      <c r="H7" s="881"/>
      <c r="I7" s="881"/>
      <c r="J7" s="881"/>
      <c r="K7" s="881"/>
      <c r="L7" s="881"/>
      <c r="M7" s="881"/>
      <c r="N7" s="881"/>
      <c r="O7" s="881"/>
      <c r="P7" s="881"/>
      <c r="Q7" s="881"/>
      <c r="R7" s="881"/>
      <c r="S7" s="881"/>
      <c r="T7" s="881"/>
      <c r="U7" s="881"/>
      <c r="V7" s="881"/>
      <c r="W7" s="882"/>
      <c r="X7" s="311"/>
      <c r="Y7" s="20"/>
      <c r="Z7" s="20"/>
      <c r="AA7" s="1057" t="s">
        <v>69</v>
      </c>
      <c r="AB7" s="20"/>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row>
    <row r="8" spans="1:79" s="129" customFormat="1" ht="16.5" customHeight="1" thickBot="1">
      <c r="A8" s="883"/>
      <c r="B8" s="884"/>
      <c r="C8" s="884"/>
      <c r="D8" s="884"/>
      <c r="E8" s="884"/>
      <c r="F8" s="884"/>
      <c r="G8" s="884"/>
      <c r="H8" s="884"/>
      <c r="I8" s="884"/>
      <c r="J8" s="884"/>
      <c r="K8" s="884"/>
      <c r="L8" s="884"/>
      <c r="M8" s="884"/>
      <c r="N8" s="884"/>
      <c r="O8" s="884"/>
      <c r="P8" s="884"/>
      <c r="Q8" s="884"/>
      <c r="R8" s="884"/>
      <c r="S8" s="884"/>
      <c r="T8" s="884"/>
      <c r="U8" s="884"/>
      <c r="V8" s="884"/>
      <c r="W8" s="885"/>
      <c r="X8" s="311"/>
      <c r="Y8" s="20"/>
      <c r="Z8" s="20"/>
      <c r="AA8" s="1058" t="s">
        <v>70</v>
      </c>
      <c r="AB8" s="20"/>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row>
    <row r="9" spans="1:79" s="129" customFormat="1" ht="15.95" thickBot="1">
      <c r="A9" s="270"/>
      <c r="B9" s="270"/>
      <c r="C9" s="270"/>
      <c r="D9" s="270"/>
      <c r="E9" s="270"/>
      <c r="F9" s="270"/>
      <c r="G9" s="270"/>
      <c r="H9" s="270"/>
      <c r="I9" s="270"/>
      <c r="J9" s="270"/>
      <c r="K9" s="270"/>
      <c r="L9" s="270"/>
      <c r="M9" s="270"/>
      <c r="N9" s="270"/>
      <c r="O9" s="270"/>
      <c r="P9" s="270"/>
      <c r="Q9" s="270"/>
      <c r="R9" s="270"/>
      <c r="S9" s="270"/>
      <c r="T9" s="270"/>
      <c r="U9" s="270"/>
      <c r="V9" s="270"/>
      <c r="W9" s="270"/>
      <c r="X9" s="270"/>
      <c r="Y9" s="20"/>
      <c r="Z9" s="20"/>
      <c r="AA9" s="266" t="s">
        <v>71</v>
      </c>
      <c r="AB9" s="20"/>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row>
    <row r="10" spans="1:79" s="129" customFormat="1" ht="26.25" customHeight="1" thickBot="1">
      <c r="A10" s="894" t="s">
        <v>432</v>
      </c>
      <c r="B10" s="891"/>
      <c r="C10" s="891"/>
      <c r="D10" s="891"/>
      <c r="E10" s="891"/>
      <c r="F10" s="891"/>
      <c r="G10" s="891" t="s">
        <v>433</v>
      </c>
      <c r="H10" s="891"/>
      <c r="I10" s="891"/>
      <c r="J10" s="891"/>
      <c r="K10" s="891"/>
      <c r="L10" s="891"/>
      <c r="M10" s="891"/>
      <c r="N10" s="891"/>
      <c r="O10" s="891"/>
      <c r="P10" s="891"/>
      <c r="Q10" s="891"/>
      <c r="R10" s="891"/>
      <c r="S10" s="891"/>
      <c r="T10" s="891"/>
      <c r="U10" s="891"/>
      <c r="V10" s="892"/>
      <c r="W10" s="893"/>
      <c r="X10" s="312"/>
      <c r="Y10" s="20"/>
      <c r="Z10" s="20"/>
      <c r="AA10" s="20"/>
      <c r="AB10" s="20"/>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row>
    <row r="11" spans="1:79" s="129" customFormat="1" ht="51" customHeight="1">
      <c r="A11" s="902" t="s">
        <v>434</v>
      </c>
      <c r="B11" s="903"/>
      <c r="C11" s="903"/>
      <c r="D11" s="903"/>
      <c r="E11" s="903"/>
      <c r="F11" s="903"/>
      <c r="G11" s="1059" t="s">
        <v>435</v>
      </c>
      <c r="H11" s="1060"/>
      <c r="I11" s="1060"/>
      <c r="J11" s="1060"/>
      <c r="K11" s="1060"/>
      <c r="L11" s="1060"/>
      <c r="M11" s="1060"/>
      <c r="N11" s="1060"/>
      <c r="O11" s="1060"/>
      <c r="P11" s="1060"/>
      <c r="Q11" s="1060"/>
      <c r="R11" s="1060"/>
      <c r="S11" s="1060"/>
      <c r="T11" s="1060"/>
      <c r="U11" s="1060"/>
      <c r="V11" s="1061"/>
      <c r="W11" s="1062"/>
      <c r="X11" s="310"/>
      <c r="Y11" s="20"/>
      <c r="Z11" s="20"/>
      <c r="AA11" s="20"/>
      <c r="AB11" s="20"/>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row>
    <row r="12" spans="1:79" s="129" customFormat="1" ht="51" customHeight="1">
      <c r="A12" s="1063" t="s">
        <v>436</v>
      </c>
      <c r="B12" s="1064"/>
      <c r="C12" s="1064"/>
      <c r="D12" s="1064"/>
      <c r="E12" s="1064"/>
      <c r="F12" s="1064"/>
      <c r="G12" s="1059" t="s">
        <v>437</v>
      </c>
      <c r="H12" s="1060"/>
      <c r="I12" s="1060"/>
      <c r="J12" s="1060"/>
      <c r="K12" s="1060"/>
      <c r="L12" s="1060"/>
      <c r="M12" s="1060"/>
      <c r="N12" s="1060"/>
      <c r="O12" s="1060"/>
      <c r="P12" s="1060"/>
      <c r="Q12" s="1060"/>
      <c r="R12" s="1060"/>
      <c r="S12" s="1060"/>
      <c r="T12" s="1060"/>
      <c r="U12" s="1060"/>
      <c r="V12" s="1061"/>
      <c r="W12" s="1062"/>
      <c r="X12" s="310"/>
      <c r="Y12" s="20"/>
      <c r="Z12" s="20"/>
      <c r="AA12" s="20"/>
      <c r="AB12" s="20"/>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row>
    <row r="13" spans="1:79" s="129" customFormat="1" ht="111.75" customHeight="1">
      <c r="A13" s="1063" t="s">
        <v>438</v>
      </c>
      <c r="B13" s="1064"/>
      <c r="C13" s="1064"/>
      <c r="D13" s="1064"/>
      <c r="E13" s="1064"/>
      <c r="F13" s="1064"/>
      <c r="G13" s="1059" t="s">
        <v>439</v>
      </c>
      <c r="H13" s="1059"/>
      <c r="I13" s="1059"/>
      <c r="J13" s="1059"/>
      <c r="K13" s="1059"/>
      <c r="L13" s="1059"/>
      <c r="M13" s="1059"/>
      <c r="N13" s="1059"/>
      <c r="O13" s="1059"/>
      <c r="P13" s="1059"/>
      <c r="Q13" s="1059"/>
      <c r="R13" s="1059"/>
      <c r="S13" s="1059"/>
      <c r="T13" s="1059"/>
      <c r="U13" s="1059"/>
      <c r="V13" s="1065"/>
      <c r="W13" s="1066"/>
      <c r="X13" s="310"/>
      <c r="Y13" s="20"/>
      <c r="Z13" s="20"/>
      <c r="AA13" s="20"/>
      <c r="AB13" s="20"/>
      <c r="AC13" s="114"/>
      <c r="AD13" s="114"/>
      <c r="AE13" s="114"/>
      <c r="AF13" s="114"/>
      <c r="AG13" s="114"/>
      <c r="AH13" s="114"/>
      <c r="AI13" s="114"/>
      <c r="AJ13" s="114"/>
      <c r="AK13" s="114"/>
      <c r="AL13" s="114"/>
      <c r="AM13" s="114"/>
      <c r="AN13" s="114"/>
      <c r="AO13" s="114"/>
      <c r="AP13" s="114"/>
      <c r="AQ13" s="114"/>
      <c r="AR13" s="114"/>
      <c r="AS13" s="114"/>
      <c r="AT13" s="114"/>
      <c r="AU13" s="114"/>
      <c r="AV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row>
    <row r="14" spans="1:79" s="129" customFormat="1" ht="111.75" customHeight="1">
      <c r="A14" s="1067" t="s">
        <v>440</v>
      </c>
      <c r="B14" s="1068"/>
      <c r="C14" s="1068"/>
      <c r="D14" s="1068"/>
      <c r="E14" s="1068"/>
      <c r="F14" s="1068"/>
      <c r="G14" s="1069" t="s">
        <v>441</v>
      </c>
      <c r="H14" s="1070"/>
      <c r="I14" s="1070"/>
      <c r="J14" s="1070"/>
      <c r="K14" s="1070"/>
      <c r="L14" s="1070"/>
      <c r="M14" s="1070"/>
      <c r="N14" s="1070"/>
      <c r="O14" s="1070"/>
      <c r="P14" s="1070"/>
      <c r="Q14" s="1070"/>
      <c r="R14" s="1070"/>
      <c r="S14" s="1070"/>
      <c r="T14" s="1070"/>
      <c r="U14" s="1070"/>
      <c r="V14" s="1071"/>
      <c r="W14" s="1072"/>
      <c r="X14" s="313"/>
      <c r="Y14" s="20"/>
      <c r="Z14" s="20"/>
      <c r="AA14" s="20"/>
      <c r="AB14" s="20"/>
      <c r="AC14" s="114"/>
      <c r="AD14" s="114"/>
      <c r="AE14" s="114"/>
      <c r="AF14" s="114"/>
      <c r="AG14" s="114"/>
      <c r="AH14" s="114"/>
      <c r="AI14" s="114"/>
      <c r="AJ14" s="114"/>
      <c r="AK14" s="114"/>
      <c r="AL14" s="114"/>
      <c r="AM14" s="114"/>
      <c r="AN14" s="114"/>
      <c r="AO14" s="114"/>
      <c r="AP14" s="114"/>
      <c r="AQ14" s="114"/>
      <c r="AR14" s="114"/>
      <c r="AS14" s="114"/>
      <c r="AT14" s="114"/>
      <c r="AU14" s="114"/>
      <c r="AV14" s="114"/>
      <c r="AW14" s="2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row>
    <row r="15" spans="1:79" s="129" customFormat="1" ht="119.45" customHeight="1" thickBot="1">
      <c r="A15" s="1073" t="s">
        <v>442</v>
      </c>
      <c r="B15" s="1074"/>
      <c r="C15" s="1074"/>
      <c r="D15" s="1074"/>
      <c r="E15" s="1074"/>
      <c r="F15" s="1074"/>
      <c r="G15" s="1069" t="s">
        <v>443</v>
      </c>
      <c r="H15" s="1070"/>
      <c r="I15" s="1070"/>
      <c r="J15" s="1070"/>
      <c r="K15" s="1070"/>
      <c r="L15" s="1070"/>
      <c r="M15" s="1070"/>
      <c r="N15" s="1070"/>
      <c r="O15" s="1070"/>
      <c r="P15" s="1070"/>
      <c r="Q15" s="1070"/>
      <c r="R15" s="1070"/>
      <c r="S15" s="1070"/>
      <c r="T15" s="1070"/>
      <c r="U15" s="1070"/>
      <c r="V15" s="1071"/>
      <c r="W15" s="1072"/>
      <c r="X15" s="313"/>
      <c r="Y15" s="20"/>
      <c r="Z15" s="20"/>
      <c r="AA15" s="20"/>
      <c r="AB15" s="20"/>
      <c r="AC15" s="114"/>
      <c r="AD15" s="114"/>
      <c r="AE15" s="114"/>
      <c r="AF15" s="114"/>
      <c r="AG15" s="114"/>
      <c r="AH15" s="114"/>
      <c r="AI15" s="114"/>
      <c r="AJ15" s="114"/>
      <c r="AK15" s="114"/>
      <c r="AL15" s="114"/>
      <c r="AM15" s="114"/>
      <c r="AN15" s="114"/>
      <c r="AO15" s="114"/>
      <c r="AP15" s="114"/>
      <c r="AQ15" s="114"/>
      <c r="AR15" s="114"/>
      <c r="AS15" s="114"/>
      <c r="AT15" s="114"/>
      <c r="AU15" s="114"/>
      <c r="AV15" s="114"/>
      <c r="AW15" s="876"/>
      <c r="AX15" s="876"/>
      <c r="AY15" s="876"/>
      <c r="AZ15" s="876"/>
      <c r="BA15" s="876"/>
      <c r="BB15" s="876"/>
      <c r="BC15" s="876"/>
      <c r="BD15" s="876"/>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row>
    <row r="16" spans="1:79" s="129" customFormat="1" ht="1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314"/>
      <c r="Y16" s="20"/>
      <c r="Z16" s="20"/>
      <c r="AA16" s="20"/>
      <c r="AB16" s="20"/>
      <c r="AC16" s="114"/>
      <c r="AD16" s="114"/>
      <c r="AE16" s="114"/>
      <c r="AF16" s="114"/>
      <c r="AG16" s="114"/>
      <c r="AH16" s="114"/>
      <c r="AI16" s="114"/>
      <c r="AJ16" s="114"/>
      <c r="AK16" s="114"/>
      <c r="AL16" s="114"/>
      <c r="AM16" s="114"/>
      <c r="AN16" s="114"/>
      <c r="AO16" s="114"/>
      <c r="AP16" s="114"/>
      <c r="AQ16" s="114"/>
      <c r="AR16" s="114"/>
      <c r="AS16" s="114"/>
      <c r="AT16" s="114"/>
      <c r="AU16" s="114"/>
      <c r="AV16" s="114"/>
      <c r="AW16" s="49"/>
      <c r="AX16" s="49"/>
      <c r="AY16" s="49"/>
      <c r="AZ16" s="49"/>
      <c r="BA16" s="49"/>
      <c r="BB16" s="49"/>
      <c r="BC16" s="49"/>
      <c r="BD16" s="49"/>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row>
    <row r="17" spans="1:89" s="129" customFormat="1" ht="15">
      <c r="A17" s="250"/>
      <c r="B17" s="250"/>
      <c r="C17" s="250"/>
      <c r="D17" s="250"/>
      <c r="E17" s="250"/>
      <c r="F17" s="250"/>
      <c r="G17" s="250"/>
      <c r="H17" s="250"/>
      <c r="I17" s="250"/>
      <c r="J17" s="250"/>
      <c r="K17" s="250"/>
      <c r="L17" s="250"/>
      <c r="M17" s="250"/>
      <c r="N17" s="250"/>
      <c r="O17" s="250"/>
      <c r="P17" s="250"/>
      <c r="Q17" s="250"/>
      <c r="R17" s="250"/>
      <c r="S17" s="250"/>
      <c r="T17" s="250"/>
      <c r="U17" s="250"/>
      <c r="V17" s="250"/>
      <c r="W17" s="250"/>
      <c r="X17" s="314"/>
      <c r="Y17" s="20"/>
      <c r="Z17" s="20"/>
      <c r="AA17" s="20"/>
      <c r="AB17" s="20"/>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row>
    <row r="18" spans="1:89" s="129" customFormat="1" ht="15.95" thickBot="1">
      <c r="A18" s="250"/>
      <c r="B18" s="250"/>
      <c r="C18" s="250"/>
      <c r="D18" s="250"/>
      <c r="E18" s="250"/>
      <c r="F18" s="250"/>
      <c r="G18" s="250"/>
      <c r="H18" s="250"/>
      <c r="I18" s="250"/>
      <c r="J18" s="250"/>
      <c r="K18" s="250"/>
      <c r="L18" s="250"/>
      <c r="M18" s="250"/>
      <c r="N18" s="250"/>
      <c r="O18" s="250"/>
      <c r="P18" s="250"/>
      <c r="Q18" s="250"/>
      <c r="R18" s="250"/>
      <c r="S18" s="250"/>
      <c r="T18" s="250"/>
      <c r="U18" s="250"/>
      <c r="V18" s="250"/>
      <c r="W18" s="250"/>
      <c r="X18" s="314"/>
      <c r="Y18" s="20"/>
      <c r="Z18" s="20"/>
      <c r="AA18" s="20"/>
      <c r="AB18" s="20"/>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row>
    <row r="19" spans="1:89" s="129" customFormat="1" ht="14.45" customHeight="1">
      <c r="A19" s="877" t="s">
        <v>444</v>
      </c>
      <c r="B19" s="878"/>
      <c r="C19" s="878"/>
      <c r="D19" s="878"/>
      <c r="E19" s="878"/>
      <c r="F19" s="878"/>
      <c r="G19" s="878"/>
      <c r="H19" s="878"/>
      <c r="I19" s="878"/>
      <c r="J19" s="878"/>
      <c r="K19" s="878"/>
      <c r="L19" s="878"/>
      <c r="M19" s="878"/>
      <c r="N19" s="878"/>
      <c r="O19" s="878"/>
      <c r="P19" s="878"/>
      <c r="Q19" s="878"/>
      <c r="R19" s="878"/>
      <c r="S19" s="878"/>
      <c r="T19" s="878"/>
      <c r="U19" s="878"/>
      <c r="V19" s="878"/>
      <c r="W19" s="879"/>
      <c r="X19" s="315"/>
      <c r="Y19" s="20"/>
      <c r="Z19" s="20"/>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row>
    <row r="20" spans="1:89" s="129" customFormat="1" ht="14.45" customHeight="1">
      <c r="A20" s="880"/>
      <c r="B20" s="881"/>
      <c r="C20" s="881"/>
      <c r="D20" s="881"/>
      <c r="E20" s="881"/>
      <c r="F20" s="881"/>
      <c r="G20" s="881"/>
      <c r="H20" s="881"/>
      <c r="I20" s="881"/>
      <c r="J20" s="881"/>
      <c r="K20" s="881"/>
      <c r="L20" s="881"/>
      <c r="M20" s="881"/>
      <c r="N20" s="881"/>
      <c r="O20" s="881"/>
      <c r="P20" s="881"/>
      <c r="Q20" s="881"/>
      <c r="R20" s="881"/>
      <c r="S20" s="881"/>
      <c r="T20" s="881"/>
      <c r="U20" s="881"/>
      <c r="V20" s="881"/>
      <c r="W20" s="882"/>
      <c r="X20" s="315"/>
      <c r="Y20" s="20"/>
      <c r="Z20" s="20"/>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row>
    <row r="21" spans="1:89" s="129" customFormat="1" ht="14.45" customHeight="1">
      <c r="A21" s="880"/>
      <c r="B21" s="881"/>
      <c r="C21" s="881"/>
      <c r="D21" s="881"/>
      <c r="E21" s="881"/>
      <c r="F21" s="881"/>
      <c r="G21" s="881"/>
      <c r="H21" s="881"/>
      <c r="I21" s="881"/>
      <c r="J21" s="881"/>
      <c r="K21" s="881"/>
      <c r="L21" s="881"/>
      <c r="M21" s="881"/>
      <c r="N21" s="881"/>
      <c r="O21" s="881"/>
      <c r="P21" s="881"/>
      <c r="Q21" s="881"/>
      <c r="R21" s="881"/>
      <c r="S21" s="881"/>
      <c r="T21" s="881"/>
      <c r="U21" s="881"/>
      <c r="V21" s="881"/>
      <c r="W21" s="882"/>
      <c r="X21" s="315"/>
      <c r="Y21" s="20"/>
      <c r="Z21" s="20"/>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row>
    <row r="22" spans="1:89" s="129" customFormat="1" ht="14.45" customHeight="1">
      <c r="A22" s="880"/>
      <c r="B22" s="881"/>
      <c r="C22" s="881"/>
      <c r="D22" s="881"/>
      <c r="E22" s="881"/>
      <c r="F22" s="881"/>
      <c r="G22" s="881"/>
      <c r="H22" s="881"/>
      <c r="I22" s="881"/>
      <c r="J22" s="881"/>
      <c r="K22" s="881"/>
      <c r="L22" s="881"/>
      <c r="M22" s="881"/>
      <c r="N22" s="881"/>
      <c r="O22" s="881"/>
      <c r="P22" s="881"/>
      <c r="Q22" s="881"/>
      <c r="R22" s="881"/>
      <c r="S22" s="881"/>
      <c r="T22" s="881"/>
      <c r="U22" s="881"/>
      <c r="V22" s="881"/>
      <c r="W22" s="882"/>
      <c r="X22" s="315"/>
      <c r="Y22" s="20"/>
      <c r="Z22" s="20"/>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row>
    <row r="23" spans="1:89" s="104" customFormat="1" ht="15.95" thickBot="1">
      <c r="A23" s="883"/>
      <c r="B23" s="884"/>
      <c r="C23" s="884"/>
      <c r="D23" s="884"/>
      <c r="E23" s="884"/>
      <c r="F23" s="884"/>
      <c r="G23" s="884"/>
      <c r="H23" s="884"/>
      <c r="I23" s="884"/>
      <c r="J23" s="884"/>
      <c r="K23" s="884"/>
      <c r="L23" s="884"/>
      <c r="M23" s="884"/>
      <c r="N23" s="884"/>
      <c r="O23" s="884"/>
      <c r="P23" s="884"/>
      <c r="Q23" s="884"/>
      <c r="R23" s="884"/>
      <c r="S23" s="884"/>
      <c r="T23" s="884"/>
      <c r="U23" s="884"/>
      <c r="V23" s="884"/>
      <c r="W23" s="885"/>
      <c r="X23" s="315"/>
      <c r="Y23" s="20"/>
      <c r="Z23" s="20"/>
      <c r="AA23" s="376" t="s">
        <v>445</v>
      </c>
      <c r="AB23" s="377"/>
      <c r="AC23" s="378"/>
      <c r="AD23" s="378"/>
      <c r="AE23" s="378"/>
      <c r="AF23" s="378"/>
      <c r="AG23" s="378"/>
      <c r="AH23" s="378"/>
      <c r="AI23" s="378"/>
      <c r="AJ23" s="378"/>
      <c r="AK23" s="378"/>
      <c r="AL23" s="378"/>
      <c r="AM23" s="378"/>
      <c r="AN23" s="375"/>
      <c r="AO23" s="375"/>
      <c r="AP23" s="375"/>
      <c r="AQ23" s="375"/>
      <c r="AR23" s="375"/>
      <c r="AS23" s="375"/>
      <c r="AT23" s="375"/>
      <c r="AU23" s="375"/>
      <c r="AV23" s="375"/>
      <c r="AW23" s="379"/>
      <c r="AX23" s="380"/>
      <c r="AY23" s="380"/>
      <c r="AZ23" s="380"/>
      <c r="BA23" s="380"/>
      <c r="BB23" s="380"/>
      <c r="BC23" s="380"/>
      <c r="BD23" s="380"/>
      <c r="BE23" s="380"/>
      <c r="BF23" s="380"/>
      <c r="BG23" s="380"/>
      <c r="BH23" s="380"/>
      <c r="BI23" s="380"/>
      <c r="BJ23" s="380"/>
      <c r="BK23" s="380"/>
      <c r="BL23" s="380"/>
      <c r="BM23" s="380"/>
      <c r="BN23" s="380"/>
      <c r="BO23" s="375"/>
      <c r="BP23" s="375"/>
      <c r="BQ23" s="375"/>
      <c r="BR23" s="375"/>
      <c r="BS23" s="375"/>
      <c r="BT23" s="375"/>
      <c r="BU23" s="375"/>
      <c r="BV23" s="375"/>
      <c r="BW23" s="375"/>
      <c r="BX23" s="375"/>
      <c r="BY23" s="375"/>
      <c r="BZ23" s="375"/>
      <c r="CA23" s="375"/>
      <c r="CB23" s="381"/>
    </row>
    <row r="24" spans="1:89" s="104" customFormat="1" ht="22.5" customHeight="1" thickBot="1">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315"/>
      <c r="Y24" s="20"/>
      <c r="Z24" s="20"/>
      <c r="AA24" s="376"/>
      <c r="AB24" s="377"/>
      <c r="AC24" s="378"/>
      <c r="AD24" s="378"/>
      <c r="AE24" s="378"/>
      <c r="AF24" s="378"/>
      <c r="AG24" s="378"/>
      <c r="AH24" s="378"/>
      <c r="AI24" s="378"/>
      <c r="AJ24" s="378"/>
      <c r="AK24" s="378"/>
      <c r="AL24" s="378"/>
      <c r="AM24" s="378"/>
      <c r="AN24" s="375"/>
      <c r="AO24" s="375"/>
      <c r="AP24" s="375"/>
      <c r="AQ24" s="375"/>
      <c r="AR24" s="375"/>
      <c r="AS24" s="375"/>
      <c r="AT24" s="375"/>
      <c r="AU24" s="375"/>
      <c r="AV24" s="375"/>
      <c r="AW24" s="380"/>
      <c r="AX24" s="380"/>
      <c r="AY24" s="380"/>
      <c r="AZ24" s="380"/>
      <c r="BA24" s="380"/>
      <c r="BB24" s="380"/>
      <c r="BC24" s="380"/>
      <c r="BD24" s="380"/>
      <c r="BE24" s="380"/>
      <c r="BF24" s="380"/>
      <c r="BG24" s="380"/>
      <c r="BH24" s="380"/>
      <c r="BI24" s="380"/>
      <c r="BJ24" s="380"/>
      <c r="BK24" s="380"/>
      <c r="BL24" s="380"/>
      <c r="BM24" s="380"/>
      <c r="BN24" s="382"/>
      <c r="BO24" s="378"/>
      <c r="BP24" s="375"/>
      <c r="BQ24" s="378"/>
      <c r="BR24" s="378"/>
      <c r="BS24" s="375"/>
      <c r="BT24" s="375"/>
      <c r="BU24" s="375"/>
      <c r="BV24" s="375"/>
      <c r="BW24" s="375"/>
      <c r="BX24" s="375"/>
      <c r="BY24" s="375"/>
      <c r="BZ24" s="375"/>
      <c r="CA24" s="375"/>
      <c r="CB24" s="381"/>
    </row>
    <row r="25" spans="1:89" s="239" customFormat="1" ht="23.25" customHeight="1">
      <c r="A25" s="897" t="s">
        <v>446</v>
      </c>
      <c r="B25" s="195"/>
      <c r="C25" s="873" t="s">
        <v>447</v>
      </c>
      <c r="D25" s="874"/>
      <c r="E25" s="874"/>
      <c r="F25" s="874"/>
      <c r="G25" s="874"/>
      <c r="H25" s="874"/>
      <c r="I25" s="874"/>
      <c r="J25" s="874"/>
      <c r="K25" s="874"/>
      <c r="L25" s="874"/>
      <c r="M25" s="874"/>
      <c r="N25" s="874"/>
      <c r="O25" s="874"/>
      <c r="P25" s="875"/>
      <c r="Q25" s="899" t="s">
        <v>448</v>
      </c>
      <c r="R25" s="900"/>
      <c r="S25" s="900"/>
      <c r="T25" s="900"/>
      <c r="U25" s="900"/>
      <c r="V25" s="900"/>
      <c r="W25" s="901"/>
      <c r="X25" s="316"/>
      <c r="Y25" s="747"/>
      <c r="Z25" s="23"/>
      <c r="AA25" s="383" t="s">
        <v>449</v>
      </c>
      <c r="AB25" s="384"/>
      <c r="AC25" s="385"/>
      <c r="AD25" s="385"/>
      <c r="AE25" s="385"/>
      <c r="AF25" s="385"/>
      <c r="AG25" s="385"/>
      <c r="AH25" s="385"/>
      <c r="AI25" s="385"/>
      <c r="AJ25" s="385"/>
      <c r="AK25" s="385"/>
      <c r="AL25" s="385"/>
      <c r="AM25" s="385"/>
      <c r="AN25" s="385"/>
      <c r="AO25" s="385"/>
      <c r="AP25" s="385"/>
      <c r="AQ25" s="378"/>
      <c r="AR25" s="378"/>
      <c r="AS25" s="378"/>
      <c r="AT25" s="378"/>
      <c r="AU25" s="375"/>
      <c r="AV25" s="375"/>
      <c r="AW25" s="386" t="s">
        <v>450</v>
      </c>
      <c r="AX25" s="387"/>
      <c r="AY25" s="387"/>
      <c r="AZ25" s="387"/>
      <c r="BA25" s="387"/>
      <c r="BB25" s="387"/>
      <c r="BC25" s="387"/>
      <c r="BD25" s="387"/>
      <c r="BE25" s="388"/>
      <c r="BF25" s="382"/>
      <c r="BG25" s="382" t="s">
        <v>451</v>
      </c>
      <c r="BH25" s="382"/>
      <c r="BI25" s="382"/>
      <c r="BJ25" s="382"/>
      <c r="BK25" s="382"/>
      <c r="BL25" s="382"/>
      <c r="BM25" s="382"/>
      <c r="BN25" s="382"/>
      <c r="BO25" s="378" t="s">
        <v>452</v>
      </c>
      <c r="BP25" s="375"/>
      <c r="BQ25" s="378"/>
      <c r="BR25" s="378"/>
      <c r="BS25" s="375"/>
      <c r="BT25" s="375"/>
      <c r="BU25" s="375"/>
      <c r="BV25" s="375"/>
      <c r="BW25" s="375"/>
      <c r="BX25" s="375"/>
      <c r="BY25" s="375"/>
      <c r="BZ25" s="375"/>
      <c r="CA25" s="375"/>
      <c r="CB25" s="389"/>
    </row>
    <row r="26" spans="1:89" s="269" customFormat="1" ht="86.1" customHeight="1" thickBot="1">
      <c r="A26" s="898"/>
      <c r="B26" s="238" t="s">
        <v>453</v>
      </c>
      <c r="C26" s="1075" t="s">
        <v>454</v>
      </c>
      <c r="D26" s="1076" t="s">
        <v>455</v>
      </c>
      <c r="E26" s="1076" t="s">
        <v>456</v>
      </c>
      <c r="F26" s="1076" t="s">
        <v>457</v>
      </c>
      <c r="G26" s="1077" t="s">
        <v>458</v>
      </c>
      <c r="H26" s="1078" t="str">
        <f>'Building Info &amp; Assumptions'!A347&amp;" ["&amp;'Building Info &amp; Assumptions'!C347&amp;"]"&amp;" Savings"</f>
        <v>Electricity [kWh] Savings</v>
      </c>
      <c r="I26" s="1078" t="str">
        <f>'Building Info &amp; Assumptions'!A348&amp;" ["&amp;'Building Info &amp; Assumptions'!C348&amp;"]"&amp;" Savings"</f>
        <v>Natural Gas [therms] Savings</v>
      </c>
      <c r="J26" s="1078" t="str">
        <f>'Building Info &amp; Assumptions'!A349&amp;" ["&amp;'Building Info &amp; Assumptions'!C349&amp;"]"&amp;" Savings"</f>
        <v>Purchased Steam [lbs District Steam] Savings</v>
      </c>
      <c r="K26" s="1078" t="str">
        <f>'Building Info &amp; Assumptions'!A350&amp;" ["&amp;'Building Info &amp; Assumptions'!C350&amp;"]"&amp;" Savings"</f>
        <v>Purchased Chilled Water [MMBtu] Savings</v>
      </c>
      <c r="L26" s="1078" t="str">
        <f>'Building Info &amp; Assumptions'!A351&amp;" ["&amp;'Building Info &amp; Assumptions'!C351&amp;"]"&amp;" Savings"</f>
        <v>Purchased Hot Water [MMBtu] Savings</v>
      </c>
      <c r="M26" s="1078" t="str">
        <f>'Building Info &amp; Assumptions'!A352&amp;" ["&amp;'Building Info &amp; Assumptions'!C352&amp;"]"&amp;" Savings"</f>
        <v>Fuel Oil [gallons (Fuel Oil #2)] Savings</v>
      </c>
      <c r="N26" s="1079" t="s">
        <v>459</v>
      </c>
      <c r="O26" s="1079" t="s">
        <v>460</v>
      </c>
      <c r="P26" s="1079" t="s">
        <v>461</v>
      </c>
      <c r="Q26" s="1075" t="s">
        <v>462</v>
      </c>
      <c r="R26" s="1076" t="s">
        <v>463</v>
      </c>
      <c r="S26" s="1080" t="s">
        <v>464</v>
      </c>
      <c r="T26" s="1081" t="s">
        <v>465</v>
      </c>
      <c r="U26" s="1080" t="s">
        <v>466</v>
      </c>
      <c r="V26" s="1082" t="s">
        <v>467</v>
      </c>
      <c r="W26" s="1083" t="s">
        <v>468</v>
      </c>
      <c r="X26" s="317"/>
      <c r="Y26" s="22"/>
      <c r="Z26" s="22"/>
      <c r="AA26" s="389"/>
      <c r="AB26" s="390"/>
      <c r="AC26" s="390"/>
      <c r="AD26" s="390"/>
      <c r="AE26" s="390"/>
      <c r="AF26" s="390"/>
      <c r="AG26" s="390"/>
      <c r="AH26" s="390"/>
      <c r="AI26" s="390"/>
      <c r="AJ26" s="390"/>
      <c r="AK26" s="390"/>
      <c r="AL26" s="390"/>
      <c r="AM26" s="391"/>
      <c r="AN26" s="375"/>
      <c r="AO26" s="375"/>
      <c r="AP26" s="375"/>
      <c r="AQ26" s="375"/>
      <c r="AR26" s="375"/>
      <c r="AS26" s="375"/>
      <c r="AT26" s="375"/>
      <c r="AU26" s="375"/>
      <c r="AV26" s="375"/>
      <c r="AW26" s="1084"/>
      <c r="AX26" s="1084" t="str">
        <f>'Building Info &amp; Assumptions'!A347&amp;" EUI Savings"</f>
        <v>Electricity EUI Savings</v>
      </c>
      <c r="AY26" s="1084" t="str">
        <f>'Building Info &amp; Assumptions'!A348&amp;" EUI Savings"</f>
        <v>Natural Gas EUI Savings</v>
      </c>
      <c r="AZ26" s="1084" t="str">
        <f>'Building Info &amp; Assumptions'!A349&amp;" EUI Savings"</f>
        <v>Purchased Steam EUI Savings</v>
      </c>
      <c r="BA26" s="1084" t="str">
        <f>'Building Info &amp; Assumptions'!A350&amp;" EUI Savings"</f>
        <v>Purchased Chilled Water EUI Savings</v>
      </c>
      <c r="BB26" s="1084" t="str">
        <f>'Building Info &amp; Assumptions'!A351&amp;" EUI Savings"</f>
        <v>Purchased Hot Water EUI Savings</v>
      </c>
      <c r="BC26" s="1084" t="str">
        <f>'Building Info &amp; Assumptions'!A352&amp;" EUI Savings"</f>
        <v>Fuel Oil EUI Savings</v>
      </c>
      <c r="BD26" s="1085" t="s">
        <v>469</v>
      </c>
      <c r="BE26" s="1086"/>
      <c r="BF26" s="382"/>
      <c r="BG26" s="1087" t="s">
        <v>470</v>
      </c>
      <c r="BH26" s="1088" t="s">
        <v>471</v>
      </c>
      <c r="BI26" s="1088" t="str">
        <f>"Value of "&amp;RIGHT(E76,LEN(E76)-1)&amp;" Savings"</f>
        <v>Value of therms Savings</v>
      </c>
      <c r="BJ26" s="1088" t="str">
        <f>"Value of "&amp;RIGHT(E77,LEN(E77)-1)&amp;" Savings"</f>
        <v>Value of lbs District Steam Savings</v>
      </c>
      <c r="BK26" s="1088" t="str">
        <f>"Value of "&amp;RIGHT(E78,LEN(E78)-1)&amp;" Savings"</f>
        <v>Value of MMBtu Savings</v>
      </c>
      <c r="BL26" s="1088" t="str">
        <f>"Value of "&amp;RIGHT(E79,LEN(E79)-1)&amp;" Savings"</f>
        <v>Value of MMBtu Savings</v>
      </c>
      <c r="BM26" s="1089" t="str">
        <f>"Value of "&amp;RIGHT(E80,LEN(E80)-1)&amp;" Savings"</f>
        <v>Value of gallons (Fuel Oil #2) Savings</v>
      </c>
      <c r="BN26" s="378"/>
      <c r="BO26" s="1090" t="s">
        <v>470</v>
      </c>
      <c r="BP26" s="1091" t="s">
        <v>471</v>
      </c>
      <c r="BQ26" s="392"/>
      <c r="BR26" s="1090" t="s">
        <v>472</v>
      </c>
      <c r="BS26" s="1091" t="s">
        <v>473</v>
      </c>
      <c r="BT26" s="375"/>
      <c r="BU26" s="1092" t="s">
        <v>474</v>
      </c>
      <c r="BV26" s="1092" t="s">
        <v>475</v>
      </c>
      <c r="BW26" s="1092" t="s">
        <v>476</v>
      </c>
      <c r="BX26" s="1092" t="s">
        <v>477</v>
      </c>
      <c r="BY26" s="375"/>
      <c r="BZ26" s="1092" t="s">
        <v>478</v>
      </c>
      <c r="CA26" s="1092" t="s">
        <v>479</v>
      </c>
      <c r="CB26" s="1092" t="s">
        <v>480</v>
      </c>
      <c r="CC26" s="1092" t="s">
        <v>481</v>
      </c>
      <c r="CD26" s="1092" t="s">
        <v>482</v>
      </c>
      <c r="CE26" s="1092" t="s">
        <v>483</v>
      </c>
      <c r="CF26" s="1092" t="s">
        <v>484</v>
      </c>
      <c r="CH26" s="1092" t="s">
        <v>485</v>
      </c>
      <c r="CI26" s="1092" t="s">
        <v>486</v>
      </c>
      <c r="CJ26" s="1092" t="s">
        <v>487</v>
      </c>
      <c r="CK26" s="1092" t="s">
        <v>488</v>
      </c>
    </row>
    <row r="27" spans="1:89" s="269" customFormat="1" ht="15">
      <c r="A27" s="237"/>
      <c r="B27" s="237"/>
      <c r="C27" s="237"/>
      <c r="D27" s="237"/>
      <c r="E27" s="237"/>
      <c r="F27" s="237"/>
      <c r="G27" s="237"/>
      <c r="H27" s="237"/>
      <c r="I27" s="237"/>
      <c r="J27" s="308"/>
      <c r="K27" s="308"/>
      <c r="L27" s="308"/>
      <c r="M27" s="308"/>
      <c r="N27" s="308"/>
      <c r="O27" s="308"/>
      <c r="P27" s="237"/>
      <c r="Q27" s="237"/>
      <c r="R27" s="237"/>
      <c r="S27" s="237"/>
      <c r="T27" s="237"/>
      <c r="U27" s="237"/>
      <c r="V27" s="237"/>
      <c r="W27" s="237"/>
      <c r="X27" s="314"/>
      <c r="Y27" s="747" t="s">
        <v>489</v>
      </c>
      <c r="Z27" s="22"/>
      <c r="AA27" s="1093">
        <v>0</v>
      </c>
      <c r="AB27" s="1093">
        <v>1</v>
      </c>
      <c r="AC27" s="1093">
        <v>2</v>
      </c>
      <c r="AD27" s="1093">
        <v>3</v>
      </c>
      <c r="AE27" s="1093">
        <v>4</v>
      </c>
      <c r="AF27" s="1093">
        <v>5</v>
      </c>
      <c r="AG27" s="1093">
        <v>6</v>
      </c>
      <c r="AH27" s="1093">
        <v>7</v>
      </c>
      <c r="AI27" s="1093">
        <v>8</v>
      </c>
      <c r="AJ27" s="1093">
        <v>9</v>
      </c>
      <c r="AK27" s="1093">
        <v>10</v>
      </c>
      <c r="AL27" s="1093">
        <v>11</v>
      </c>
      <c r="AM27" s="1093">
        <v>12</v>
      </c>
      <c r="AN27" s="1093">
        <v>13</v>
      </c>
      <c r="AO27" s="1093">
        <v>14</v>
      </c>
      <c r="AP27" s="1093">
        <v>15</v>
      </c>
      <c r="AQ27" s="1093">
        <v>16</v>
      </c>
      <c r="AR27" s="1093">
        <v>17</v>
      </c>
      <c r="AS27" s="1093">
        <v>18</v>
      </c>
      <c r="AT27" s="1093">
        <v>19</v>
      </c>
      <c r="AU27" s="1093">
        <v>20</v>
      </c>
      <c r="AV27" s="375"/>
      <c r="AW27" s="393" t="s">
        <v>490</v>
      </c>
      <c r="AX27" s="393" t="s">
        <v>490</v>
      </c>
      <c r="AY27" s="393" t="s">
        <v>490</v>
      </c>
      <c r="AZ27" s="393" t="s">
        <v>490</v>
      </c>
      <c r="BA27" s="393" t="s">
        <v>490</v>
      </c>
      <c r="BB27" s="393" t="s">
        <v>490</v>
      </c>
      <c r="BC27" s="393" t="s">
        <v>490</v>
      </c>
      <c r="BD27" s="393" t="s">
        <v>490</v>
      </c>
      <c r="BE27" s="394" t="s">
        <v>44</v>
      </c>
      <c r="BF27" s="382"/>
      <c r="BG27" s="395" t="s">
        <v>491</v>
      </c>
      <c r="BH27" s="388" t="s">
        <v>491</v>
      </c>
      <c r="BI27" s="388" t="s">
        <v>491</v>
      </c>
      <c r="BJ27" s="388" t="s">
        <v>491</v>
      </c>
      <c r="BK27" s="388" t="s">
        <v>491</v>
      </c>
      <c r="BL27" s="388" t="s">
        <v>491</v>
      </c>
      <c r="BM27" s="396" t="s">
        <v>491</v>
      </c>
      <c r="BN27" s="375"/>
      <c r="BO27" s="395" t="s">
        <v>491</v>
      </c>
      <c r="BP27" s="396" t="s">
        <v>491</v>
      </c>
      <c r="BQ27" s="382"/>
      <c r="BR27" s="1094" t="s">
        <v>491</v>
      </c>
      <c r="BS27" s="1095" t="s">
        <v>491</v>
      </c>
      <c r="BT27" s="375"/>
      <c r="BU27" s="1096" t="s">
        <v>492</v>
      </c>
      <c r="BV27" s="1096" t="s">
        <v>492</v>
      </c>
      <c r="BW27" s="1096" t="s">
        <v>492</v>
      </c>
      <c r="BX27" s="1096" t="s">
        <v>492</v>
      </c>
      <c r="BY27" s="375"/>
      <c r="BZ27" s="1096" t="s">
        <v>493</v>
      </c>
      <c r="CA27" s="1096" t="s">
        <v>493</v>
      </c>
      <c r="CB27" s="1096" t="s">
        <v>493</v>
      </c>
      <c r="CC27" s="1096" t="s">
        <v>492</v>
      </c>
      <c r="CD27" s="1096" t="s">
        <v>492</v>
      </c>
      <c r="CE27" s="1096" t="s">
        <v>492</v>
      </c>
      <c r="CF27" s="1096" t="s">
        <v>492</v>
      </c>
      <c r="CH27" s="1096" t="s">
        <v>492</v>
      </c>
      <c r="CI27" s="1096" t="s">
        <v>492</v>
      </c>
      <c r="CJ27" s="1096" t="s">
        <v>492</v>
      </c>
      <c r="CK27" s="1096" t="s">
        <v>492</v>
      </c>
    </row>
    <row r="28" spans="1:89" s="104" customFormat="1" ht="41.25" customHeight="1" outlineLevel="1">
      <c r="A28" s="217" t="s">
        <v>494</v>
      </c>
      <c r="B28" s="1097" t="s">
        <v>495</v>
      </c>
      <c r="C28" s="1098">
        <f>IF(B28="Storage and Load Shifting",E28,MAX(D28,E28))+F28</f>
        <v>106000</v>
      </c>
      <c r="D28" s="351">
        <f t="shared" ref="D28:D67" si="0">G28*Rate_EleckW+H28*Rate_EleckWh+I28*Rate_NatGas+J28*Rate_Steam+K28*rate_util4+L28*Rate_Util5+M28*Rate_util6</f>
        <v>106000</v>
      </c>
      <c r="E28" s="595">
        <f>IF(B28='Drop Down Lists'!$AU$7,I28*Rate_NatGas+J28*Rate_Steam+K28*rate_util4+L28*Rate_Util5+M28*Rate_util6+H28*($I$75-$I$77),IF(OR(N28="Constant Demand",O28="Constant Annual"),D28,I28*Rate_NatGas+G28*Rate_EleckW+J28*Rate_Steam+K28*rate_util4+L28*Rate_Util5+M28*Rate_util6+IF(O28='Drop Down Lists'!$BB$2,$I$73*H28,IF(O28='Drop Down Lists'!$BB$3,$I$74*H28,IF(OR(N28='Drop Down Lists'!$BC$2,N28='Drop Down Lists'!$BC$4),$I$76*H28,IF(OR(N28='Drop Down Lists'!$BC$6,'Drop Down Lists'!$BC$8),$I$77*H28,IF(N28='Drop Down Lists'!$BC$5,$I$75*H28,$D$74*H28)))))))</f>
        <v>106000</v>
      </c>
      <c r="F28" s="88">
        <v>0</v>
      </c>
      <c r="G28" s="89">
        <v>600</v>
      </c>
      <c r="H28" s="89">
        <v>1000000</v>
      </c>
      <c r="I28" s="1099">
        <v>0</v>
      </c>
      <c r="J28" s="1100">
        <v>0</v>
      </c>
      <c r="K28" s="1100">
        <v>0</v>
      </c>
      <c r="L28" s="1100">
        <v>0</v>
      </c>
      <c r="M28" s="1100">
        <v>0</v>
      </c>
      <c r="N28" s="352" t="s">
        <v>377</v>
      </c>
      <c r="O28" s="352" t="s">
        <v>378</v>
      </c>
      <c r="P28" s="791">
        <f>IF(B28="Carbon Offsets",Q28/'Building Info &amp; Assumptions'!$B$119,H28*CO2_perEleckBTU*kBTUperKWH+I28*CO2_perNatGaskBTU*kBTUperTherm+J28*CO2_perSteamkBTU*kBTUperlbsSteam+K28*CO2_perUtil4kBTU*kBTUperUnit_Util4+L28*CO2_perUtil5kBTU*kBTUperUnit_Util5+M28*CO2_perUtil6kBTU*kBTUperUnit_Util6)</f>
        <v>288.96227999999996</v>
      </c>
      <c r="Q28" s="1101">
        <v>6000000</v>
      </c>
      <c r="R28" s="319">
        <f t="shared" ref="R28:R67" si="1">G28*0.85</f>
        <v>510</v>
      </c>
      <c r="S28" s="90">
        <v>0</v>
      </c>
      <c r="T28" s="1102">
        <v>20</v>
      </c>
      <c r="U28" s="215">
        <f>Q28-S28</f>
        <v>6000000</v>
      </c>
      <c r="V28" s="309">
        <f>U28-SUM(AA28:AM28)</f>
        <v>-1272000</v>
      </c>
      <c r="W28" s="216">
        <f t="shared" ref="W28:W67" si="2">IF(C28=0,"N/A",U28/C28)</f>
        <v>56.60377358490566</v>
      </c>
      <c r="X28" s="246"/>
      <c r="Y28" s="15"/>
      <c r="Z28" s="371" t="e">
        <f>IF(OR(AND(#REF!&gt;0,H28&lt;0),AND(H28&gt;0,#REF!=0)),A28,"")</f>
        <v>#REF!</v>
      </c>
      <c r="AA28" s="1103">
        <f>U28</f>
        <v>6000000</v>
      </c>
      <c r="AB28" s="1104">
        <f t="shared" ref="AB28:AK37" si="3">IF(AB$27&gt;$T28,0,$D28*(1+$AV28)+$F28)</f>
        <v>106000</v>
      </c>
      <c r="AC28" s="1104">
        <f t="shared" si="3"/>
        <v>106000</v>
      </c>
      <c r="AD28" s="1104">
        <f t="shared" si="3"/>
        <v>106000</v>
      </c>
      <c r="AE28" s="1104">
        <f t="shared" si="3"/>
        <v>106000</v>
      </c>
      <c r="AF28" s="1104">
        <f t="shared" si="3"/>
        <v>106000</v>
      </c>
      <c r="AG28" s="1104">
        <f t="shared" si="3"/>
        <v>106000</v>
      </c>
      <c r="AH28" s="1104">
        <f t="shared" si="3"/>
        <v>106000</v>
      </c>
      <c r="AI28" s="1104">
        <f t="shared" si="3"/>
        <v>106000</v>
      </c>
      <c r="AJ28" s="1104">
        <f t="shared" si="3"/>
        <v>106000</v>
      </c>
      <c r="AK28" s="1104">
        <f t="shared" si="3"/>
        <v>106000</v>
      </c>
      <c r="AL28" s="1104">
        <f t="shared" ref="AL28:AU37" si="4">IF(AL$27&gt;$T28,0,$D28*(1+$AV28)+$F28)</f>
        <v>106000</v>
      </c>
      <c r="AM28" s="1104">
        <f t="shared" si="4"/>
        <v>106000</v>
      </c>
      <c r="AN28" s="1104">
        <f t="shared" si="4"/>
        <v>106000</v>
      </c>
      <c r="AO28" s="1104">
        <f t="shared" si="4"/>
        <v>106000</v>
      </c>
      <c r="AP28" s="1104">
        <f t="shared" si="4"/>
        <v>106000</v>
      </c>
      <c r="AQ28" s="1104">
        <f t="shared" si="4"/>
        <v>106000</v>
      </c>
      <c r="AR28" s="1104">
        <f t="shared" si="4"/>
        <v>106000</v>
      </c>
      <c r="AS28" s="1104">
        <f t="shared" si="4"/>
        <v>106000</v>
      </c>
      <c r="AT28" s="1104">
        <f t="shared" si="4"/>
        <v>106000</v>
      </c>
      <c r="AU28" s="1104">
        <f t="shared" si="4"/>
        <v>106000</v>
      </c>
      <c r="AV28" s="730">
        <f>IFERROR((esc_elect*H28*kBTUperKWH+esc_gas*#REF!*kBTUperTherm+esc_steam*I28*kBTUperlbsSteam+#REF!*esc_chw*kBTUperUnit_Util4+J28*esc_hw*kBTUperUnit_Util5+K28*esc_oil*kBTUperUnit_Util6)/(H28*kBTUperKWH+#REF!*kBTUperTherm+I28*kBTUperlbsSteam+#REF!*kBTUperUnit_Util4+J28*kBTUperUnit_Util5+K28*kBTUperUnit_Util6),0)</f>
        <v>0</v>
      </c>
      <c r="AW28" s="397">
        <f t="shared" ref="AW28:AW67" si="5">H28*kBTUperKWH/FloorArea_Conditioned</f>
        <v>2.2746666666666666</v>
      </c>
      <c r="AX28" s="397">
        <f t="shared" ref="AX28:AX67" si="6">H28*kBTUperKWH/FloorArea_Conditioned</f>
        <v>2.2746666666666666</v>
      </c>
      <c r="AY28" s="397">
        <f t="shared" ref="AY28:AY67" si="7">I28*kBTUperTherm/FloorArea_Conditioned</f>
        <v>0</v>
      </c>
      <c r="AZ28" s="397">
        <f t="shared" ref="AZ28:AZ67" si="8">J28*kBTUperlbsSteam/FloorArea_Conditioned</f>
        <v>0</v>
      </c>
      <c r="BA28" s="397">
        <f t="shared" ref="BA28:BA67" si="9">K28*kBTUperUnit_Util4/FloorArea_Conditioned</f>
        <v>0</v>
      </c>
      <c r="BB28" s="397">
        <f t="shared" ref="BB28:BB67" si="10">L28*kBTUperUnit_Util5/FloorArea_Conditioned</f>
        <v>0</v>
      </c>
      <c r="BC28" s="397">
        <f t="shared" ref="BC28:BC67" si="11">M28*kBTUperUnit_Util6/FloorArea_Conditioned</f>
        <v>0</v>
      </c>
      <c r="BD28" s="397">
        <f>SUM(AW28:BC28)</f>
        <v>4.5493333333333332</v>
      </c>
      <c r="BE28" s="398">
        <f>BD28/'Building Info &amp; Assumptions'!$B$372</f>
        <v>2.6258134119846024E-2</v>
      </c>
      <c r="BF28" s="380"/>
      <c r="BG28" s="399">
        <f t="shared" ref="BG28:BG67" si="12">H28*$D$74</f>
        <v>100000</v>
      </c>
      <c r="BH28" s="399">
        <f t="shared" ref="BH28:BH67" si="13">$D$75*G28</f>
        <v>6000</v>
      </c>
      <c r="BI28" s="399">
        <f t="shared" ref="BI28:BI67" si="14">I28*Rate_NatGas</f>
        <v>0</v>
      </c>
      <c r="BJ28" s="399">
        <f t="shared" ref="BJ28:BJ67" si="15">J28*Rate_Steam</f>
        <v>0</v>
      </c>
      <c r="BK28" s="399">
        <f t="shared" ref="BK28:BK67" si="16">K28*rate_util4</f>
        <v>0</v>
      </c>
      <c r="BL28" s="399">
        <f t="shared" ref="BL28:BL67" si="17">L28*Rate_Util5</f>
        <v>0</v>
      </c>
      <c r="BM28" s="399">
        <f t="shared" ref="BM28:BM67" si="18">M28*Rate_util6</f>
        <v>0</v>
      </c>
      <c r="BN28" s="375"/>
      <c r="BO28" s="399">
        <f>IF(OR(N28="Constant Demand",O28="Constant Annual"),D28,$D$77*H28+IF(O28='Drop Down Lists'!$BB$2,$I$73*H28,IF(O28='Drop Down Lists'!$BB$4,$I$74*H28,IF(OR(N28='Drop Down Lists'!$BC$2,N28='Drop Down Lists'!$BC$4),$I$76*H28,IF(OR(N28='Drop Down Lists'!$BC$6,'Drop Down Lists'!$BC$8),$I$77*H28,IF(N28='Drop Down Lists'!$BC$5,$I$75*H28,$D$74*H28))))))</f>
        <v>240000</v>
      </c>
      <c r="BP28" s="399">
        <f t="shared" ref="BP28:BP67" si="19">IF(OR(N28="Constant Demand",O28="Constant Annual"),D28,$D$75*G28)</f>
        <v>6000</v>
      </c>
      <c r="BQ28" s="400"/>
      <c r="BR28" s="586">
        <f t="shared" ref="BR28:BR67" si="20">MAX(BG28,BO28)+SUM(BI28:BM28)</f>
        <v>240000</v>
      </c>
      <c r="BS28" s="401">
        <f t="shared" ref="BS28:BS67" si="21">MAX(BH28,BP28)</f>
        <v>6000</v>
      </c>
      <c r="BT28" s="375"/>
      <c r="BU28" s="722" t="e">
        <f>VLOOKUP('Narrative &amp; Measures'!$A28,Alternatives!$C$15:$I$17,7,FALSE)</f>
        <v>#N/A</v>
      </c>
      <c r="BV28" s="722" t="e">
        <f>VLOOKUP('Narrative &amp; Measures'!$A28,Alternatives!$C$38:$I$57,7,FALSE)</f>
        <v>#N/A</v>
      </c>
      <c r="BW28" s="722" t="e">
        <f>VLOOKUP('Narrative &amp; Measures'!$A28,Alternatives!$C$63:$I$82,7,FALSE)</f>
        <v>#N/A</v>
      </c>
      <c r="BX28" s="722" t="e">
        <f>VLOOKUP('Narrative &amp; Measures'!$A28,Alternatives!$C$88:$I$107,7,FALSE)</f>
        <v>#N/A</v>
      </c>
      <c r="BY28" s="479"/>
      <c r="BZ28" s="723" t="e">
        <f>BV28+$T28</f>
        <v>#N/A</v>
      </c>
      <c r="CA28" s="723" t="e">
        <f>BW28+$T28</f>
        <v>#N/A</v>
      </c>
      <c r="CB28" s="723" t="e">
        <f>BX28+$T28</f>
        <v>#N/A</v>
      </c>
      <c r="CC28" s="722" t="e">
        <f>$T28+BU28</f>
        <v>#N/A</v>
      </c>
      <c r="CD28" s="722" t="e">
        <f>$T28+BV28</f>
        <v>#N/A</v>
      </c>
      <c r="CE28" s="722" t="e">
        <f t="shared" ref="CE28:CF28" si="22">$T28+BW28</f>
        <v>#N/A</v>
      </c>
      <c r="CF28" s="722" t="e">
        <f t="shared" si="22"/>
        <v>#N/A</v>
      </c>
      <c r="CH28" s="726">
        <f>IF(AND(OR(B28="Deferred Maintenance",B28="Immediate Repairs: Life Safety and Critical"),_xlfn.IFNA(MATCH($A28,Alternatives!$C$15:$C$17,0),0)&gt;0,_xlfn.IFNA(VLOOKUP($A28,Alternatives!$C$15:$H$17,6,0)="Yes",0)),$P28,0)</f>
        <v>0</v>
      </c>
      <c r="CI28" s="726">
        <f>IF(AND(_xlfn.IFNA(MATCH($A28,Alternatives!$C$38:$C$57,0),0)&gt;0,_xlfn.IFNA(VLOOKUP($A28,Alternatives!$C$38:$H$57,6,0)="Yes",0)),$P28,0)</f>
        <v>0</v>
      </c>
      <c r="CJ28" s="726">
        <f>IF(AND(_xlfn.IFNA(MATCH($A28,Alternatives!$C$63:$C$82,0),0)&gt;0,_xlfn.IFNA(VLOOKUP($A28,Alternatives!$C$63:$H$82,6,0)="Yes",0)),$P28,0)</f>
        <v>0</v>
      </c>
      <c r="CK28" s="726">
        <f>IF(AND(_xlfn.IFNA(MATCH($A28,Alternatives!$C$88:$C$107,0),0)&gt;0,_xlfn.IFNA(VLOOKUP($A28,Alternatives!$C$88:$H$107,6,0)="Yes",0)),$P28,0)</f>
        <v>0</v>
      </c>
    </row>
    <row r="29" spans="1:89" s="104" customFormat="1" ht="42" customHeight="1" outlineLevel="1">
      <c r="A29" s="217" t="s">
        <v>496</v>
      </c>
      <c r="B29" s="1097" t="s">
        <v>495</v>
      </c>
      <c r="C29" s="1098">
        <f t="shared" ref="C29:C67" si="23">IF(B29="Storage and Load Shifting",E29,MAX(D29,E29))+F29</f>
        <v>42000</v>
      </c>
      <c r="D29" s="351">
        <f t="shared" si="0"/>
        <v>42000</v>
      </c>
      <c r="E29" s="595">
        <f>IF(B29='Drop Down Lists'!$AU$7,I29*Rate_NatGas+J29*Rate_Steam+K29*rate_util4+L29*Rate_Util5+M29*Rate_util6+H29*($I$75-$I$77),IF(OR(N29="Constant Demand",O29="Constant Annual"),D29,I29*Rate_NatGas+G29*Rate_EleckW+J29*Rate_Steam+K29*rate_util4+L29*Rate_Util5+M29*Rate_util6+IF(O29='Drop Down Lists'!$BB$2,$I$73*H29,IF(O29='Drop Down Lists'!$BB$3,$I$74*H29,IF(OR(N29='Drop Down Lists'!$BC$2,N29='Drop Down Lists'!$BC$4),$I$76*H29,IF(OR(N29='Drop Down Lists'!$BC$6,'Drop Down Lists'!$BC$8),$I$77*H29,IF(N29='Drop Down Lists'!$BC$5,$I$75*H29,$D$74*H29)))))))</f>
        <v>42000</v>
      </c>
      <c r="F29" s="1105">
        <v>0</v>
      </c>
      <c r="G29" s="1099">
        <v>200</v>
      </c>
      <c r="H29" s="1099">
        <v>400000</v>
      </c>
      <c r="I29" s="1099">
        <v>0</v>
      </c>
      <c r="J29" s="1100">
        <v>0</v>
      </c>
      <c r="K29" s="1100">
        <v>0</v>
      </c>
      <c r="L29" s="1100">
        <v>0</v>
      </c>
      <c r="M29" s="1100">
        <v>0</v>
      </c>
      <c r="N29" s="352" t="s">
        <v>377</v>
      </c>
      <c r="O29" s="352" t="s">
        <v>378</v>
      </c>
      <c r="P29" s="791">
        <f>IF(B29="Carbon Offsets",Q29/'Building Info &amp; Assumptions'!$B$119,H29*CO2_perEleckBTU*kBTUperKWH+I29*CO2_perNatGaskBTU*kBTUperTherm+J29*CO2_perSteamkBTU*kBTUperlbsSteam+K29*CO2_perUtil4kBTU*kBTUperUnit_Util4+L29*CO2_perUtil5kBTU*kBTUperUnit_Util5+M29*CO2_perUtil6kBTU*kBTUperUnit_Util6)</f>
        <v>115.58491200000002</v>
      </c>
      <c r="Q29" s="1101">
        <v>2000000</v>
      </c>
      <c r="R29" s="319">
        <f t="shared" si="1"/>
        <v>170</v>
      </c>
      <c r="S29" s="1101">
        <v>0</v>
      </c>
      <c r="T29" s="1102">
        <v>20</v>
      </c>
      <c r="U29" s="215">
        <f t="shared" ref="U29:U41" si="24">Q29-S29</f>
        <v>2000000</v>
      </c>
      <c r="V29" s="309">
        <f t="shared" ref="V29:V41" si="25">U29-SUM(AA29:AM29)</f>
        <v>-504000</v>
      </c>
      <c r="W29" s="216">
        <f t="shared" si="2"/>
        <v>47.61904761904762</v>
      </c>
      <c r="X29" s="246"/>
      <c r="Y29" s="15"/>
      <c r="Z29" s="371" t="e">
        <f>IF(OR(AND(#REF!&gt;0,H29&lt;0),AND(H29&gt;0,#REF!=0)),A29,"")</f>
        <v>#REF!</v>
      </c>
      <c r="AA29" s="1103">
        <f t="shared" ref="AA29:AA67" si="26">U29</f>
        <v>2000000</v>
      </c>
      <c r="AB29" s="1104">
        <f t="shared" si="3"/>
        <v>42000</v>
      </c>
      <c r="AC29" s="1104">
        <f t="shared" si="3"/>
        <v>42000</v>
      </c>
      <c r="AD29" s="1104">
        <f t="shared" si="3"/>
        <v>42000</v>
      </c>
      <c r="AE29" s="1104">
        <f t="shared" si="3"/>
        <v>42000</v>
      </c>
      <c r="AF29" s="1104">
        <f t="shared" si="3"/>
        <v>42000</v>
      </c>
      <c r="AG29" s="1104">
        <f t="shared" si="3"/>
        <v>42000</v>
      </c>
      <c r="AH29" s="1104">
        <f t="shared" si="3"/>
        <v>42000</v>
      </c>
      <c r="AI29" s="1104">
        <f t="shared" si="3"/>
        <v>42000</v>
      </c>
      <c r="AJ29" s="1104">
        <f t="shared" si="3"/>
        <v>42000</v>
      </c>
      <c r="AK29" s="1104">
        <f t="shared" si="3"/>
        <v>42000</v>
      </c>
      <c r="AL29" s="1104">
        <f t="shared" si="4"/>
        <v>42000</v>
      </c>
      <c r="AM29" s="1104">
        <f t="shared" si="4"/>
        <v>42000</v>
      </c>
      <c r="AN29" s="1104">
        <f t="shared" si="4"/>
        <v>42000</v>
      </c>
      <c r="AO29" s="1104">
        <f t="shared" si="4"/>
        <v>42000</v>
      </c>
      <c r="AP29" s="1104">
        <f t="shared" si="4"/>
        <v>42000</v>
      </c>
      <c r="AQ29" s="1104">
        <f t="shared" si="4"/>
        <v>42000</v>
      </c>
      <c r="AR29" s="1104">
        <f t="shared" si="4"/>
        <v>42000</v>
      </c>
      <c r="AS29" s="1104">
        <f t="shared" si="4"/>
        <v>42000</v>
      </c>
      <c r="AT29" s="1104">
        <f t="shared" si="4"/>
        <v>42000</v>
      </c>
      <c r="AU29" s="1104">
        <f t="shared" si="4"/>
        <v>42000</v>
      </c>
      <c r="AV29" s="730">
        <f>IFERROR((esc_elect*H29*kBTUperKWH+esc_gas*#REF!*kBTUperTherm+esc_steam*I29*kBTUperlbsSteam+#REF!*esc_chw*kBTUperUnit_Util4+J29*esc_hw*kBTUperUnit_Util5+K29*esc_oil*kBTUperUnit_Util6)/(H29*kBTUperKWH+#REF!*kBTUperTherm+I29*kBTUperlbsSteam+#REF!*kBTUperUnit_Util4+J29*kBTUperUnit_Util5+K29*kBTUperUnit_Util6),0)</f>
        <v>0</v>
      </c>
      <c r="AW29" s="397">
        <f t="shared" si="5"/>
        <v>0.90986666666666671</v>
      </c>
      <c r="AX29" s="397">
        <f t="shared" si="6"/>
        <v>0.90986666666666671</v>
      </c>
      <c r="AY29" s="397">
        <f t="shared" si="7"/>
        <v>0</v>
      </c>
      <c r="AZ29" s="397">
        <f t="shared" si="8"/>
        <v>0</v>
      </c>
      <c r="BA29" s="397">
        <f t="shared" si="9"/>
        <v>0</v>
      </c>
      <c r="BB29" s="397">
        <f t="shared" si="10"/>
        <v>0</v>
      </c>
      <c r="BC29" s="397">
        <f t="shared" si="11"/>
        <v>0</v>
      </c>
      <c r="BD29" s="397">
        <f t="shared" ref="BD29:BD67" si="27">SUM(AW29:BC29)</f>
        <v>1.8197333333333334</v>
      </c>
      <c r="BE29" s="398">
        <f>BD29/'Building Info &amp; Assumptions'!$B$372</f>
        <v>1.050325364793841E-2</v>
      </c>
      <c r="BF29" s="380"/>
      <c r="BG29" s="399">
        <f t="shared" si="12"/>
        <v>40000</v>
      </c>
      <c r="BH29" s="399">
        <f t="shared" si="13"/>
        <v>2000</v>
      </c>
      <c r="BI29" s="399">
        <f t="shared" si="14"/>
        <v>0</v>
      </c>
      <c r="BJ29" s="399">
        <f t="shared" si="15"/>
        <v>0</v>
      </c>
      <c r="BK29" s="399">
        <f t="shared" si="16"/>
        <v>0</v>
      </c>
      <c r="BL29" s="399">
        <f t="shared" si="17"/>
        <v>0</v>
      </c>
      <c r="BM29" s="399">
        <f t="shared" si="18"/>
        <v>0</v>
      </c>
      <c r="BN29" s="375"/>
      <c r="BO29" s="399">
        <f>IF(OR(N29="Constant Demand",O29="Constant Annual"),D29,$D$77*H29+IF(O29='Drop Down Lists'!$BB$2,$I$73*H29,IF(O29='Drop Down Lists'!$BB$4,$I$74*H29,IF(OR(N29='Drop Down Lists'!$BC$2,N29='Drop Down Lists'!$BC$4),$I$76*H29,IF(OR(N29='Drop Down Lists'!$BC$6,'Drop Down Lists'!$BC$8),$I$77*H29,IF(N29='Drop Down Lists'!$BC$5,$I$75*H29,$D$74*H29))))))</f>
        <v>96000</v>
      </c>
      <c r="BP29" s="399">
        <f t="shared" si="19"/>
        <v>2000</v>
      </c>
      <c r="BQ29" s="375"/>
      <c r="BR29" s="586">
        <f t="shared" si="20"/>
        <v>96000</v>
      </c>
      <c r="BS29" s="401">
        <f t="shared" si="21"/>
        <v>2000</v>
      </c>
      <c r="BT29" s="375"/>
      <c r="BU29" s="722" t="e">
        <f>VLOOKUP('Narrative &amp; Measures'!$A29,Alternatives!$C$15:$I$17,7,FALSE)</f>
        <v>#N/A</v>
      </c>
      <c r="BV29" s="722">
        <f>VLOOKUP('Narrative &amp; Measures'!$A29,Alternatives!$C$38:$I$57,7,FALSE)</f>
        <v>5</v>
      </c>
      <c r="BW29" s="722">
        <f>VLOOKUP('Narrative &amp; Measures'!$A29,Alternatives!$C$63:$I$82,7,FALSE)</f>
        <v>8</v>
      </c>
      <c r="BX29" s="722">
        <f>VLOOKUP('Narrative &amp; Measures'!$A29,Alternatives!$C$88:$I$107,7,FALSE)</f>
        <v>7</v>
      </c>
      <c r="BY29" s="479"/>
      <c r="BZ29" s="723">
        <f t="shared" ref="BZ29:BZ67" si="28">BV29+$T29</f>
        <v>25</v>
      </c>
      <c r="CA29" s="723">
        <f t="shared" ref="CA29:CA67" si="29">BW29+$T29</f>
        <v>28</v>
      </c>
      <c r="CB29" s="723">
        <f t="shared" ref="CB29:CB67" si="30">BX29+$T29</f>
        <v>27</v>
      </c>
      <c r="CC29" s="722" t="e">
        <f t="shared" ref="CC29:CC67" si="31">$T29+BU29</f>
        <v>#N/A</v>
      </c>
      <c r="CD29" s="722">
        <f t="shared" ref="CD29:CD67" si="32">$T29+BV29</f>
        <v>25</v>
      </c>
      <c r="CE29" s="722">
        <f t="shared" ref="CE29:CE67" si="33">$T29+BW29</f>
        <v>28</v>
      </c>
      <c r="CF29" s="722">
        <f t="shared" ref="CF29:CF67" si="34">$T29+BX29</f>
        <v>27</v>
      </c>
      <c r="CH29" s="726">
        <f>IF(AND(OR(B29="Deferred Maintenance",B29="Immediate Repairs: Life Safety and Critical"),_xlfn.IFNA(MATCH($A29,Alternatives!$C$15:$C$17,0),0)&gt;0,_xlfn.IFNA(VLOOKUP($A29,Alternatives!$C$15:$H$17,6,0)="Yes",0)),$P29,0)</f>
        <v>0</v>
      </c>
      <c r="CI29" s="726">
        <f>IF(AND(_xlfn.IFNA(MATCH($A29,Alternatives!$C$38:$C$57,0),0)&gt;0,_xlfn.IFNA(VLOOKUP($A29,Alternatives!$C$38:$H$57,6,0)="Yes",0)),$P29,0)</f>
        <v>0</v>
      </c>
      <c r="CJ29" s="726">
        <f>IF(AND(_xlfn.IFNA(MATCH($A29,Alternatives!$C$63:$C$82,0),0)&gt;0,_xlfn.IFNA(VLOOKUP($A29,Alternatives!$C$63:$H$82,6,0)="Yes",0)),$P29,0)</f>
        <v>0</v>
      </c>
      <c r="CK29" s="726">
        <f>IF(AND(_xlfn.IFNA(MATCH($A29,Alternatives!$C$88:$C$107,0),0)&gt;0,_xlfn.IFNA(VLOOKUP($A29,Alternatives!$C$88:$H$107,6,0)="Yes",0)),$P29,0)</f>
        <v>0</v>
      </c>
    </row>
    <row r="30" spans="1:89" s="104" customFormat="1" ht="42" customHeight="1" outlineLevel="1">
      <c r="A30" s="217" t="s">
        <v>497</v>
      </c>
      <c r="B30" s="1097" t="s">
        <v>495</v>
      </c>
      <c r="C30" s="1098">
        <f t="shared" si="23"/>
        <v>260000</v>
      </c>
      <c r="D30" s="351">
        <f t="shared" si="0"/>
        <v>220000</v>
      </c>
      <c r="E30" s="595">
        <f>IF(B30='Drop Down Lists'!$AU$7,I30*Rate_NatGas+J30*Rate_Steam+K30*rate_util4+L30*Rate_Util5+M30*Rate_util6+H30*($I$75-$I$77),IF(OR(N30="Constant Demand",O30="Constant Annual"),D30,I30*Rate_NatGas+G30*Rate_EleckW+J30*Rate_Steam+K30*rate_util4+L30*Rate_Util5+M30*Rate_util6+IF(O30='Drop Down Lists'!$BB$2,$I$73*H30,IF(O30='Drop Down Lists'!$BB$3,$I$74*H30,IF(OR(N30='Drop Down Lists'!$BC$2,N30='Drop Down Lists'!$BC$4),$I$76*H30,IF(OR(N30='Drop Down Lists'!$BC$6,'Drop Down Lists'!$BC$8),$I$77*H30,IF(N30='Drop Down Lists'!$BC$5,$I$75*H30,$D$74*H30)))))))</f>
        <v>270000</v>
      </c>
      <c r="F30" s="1105">
        <v>-10000</v>
      </c>
      <c r="G30" s="1099">
        <v>0</v>
      </c>
      <c r="H30" s="1099">
        <v>1000000</v>
      </c>
      <c r="I30" s="1099">
        <v>0</v>
      </c>
      <c r="J30" s="1100">
        <v>3000000</v>
      </c>
      <c r="K30" s="1100">
        <v>0</v>
      </c>
      <c r="L30" s="1100">
        <v>0</v>
      </c>
      <c r="M30" s="1100">
        <v>0</v>
      </c>
      <c r="N30" s="352" t="s">
        <v>401</v>
      </c>
      <c r="O30" s="352" t="s">
        <v>402</v>
      </c>
      <c r="P30" s="791">
        <f>IF(B30="Carbon Offsets",Q30/'Building Info &amp; Assumptions'!$B$119,H30*CO2_perEleckBTU*kBTUperKWH+I30*CO2_perNatGaskBTU*kBTUperTherm+J30*CO2_perSteamkBTU*kBTUperlbsSteam+K30*CO2_perUtil4kBTU*kBTUperUnit_Util4+L30*CO2_perUtil5kBTU*kBTUperUnit_Util5+M30*CO2_perUtil6kBTU*kBTUperUnit_Util6)</f>
        <v>449.90153999999995</v>
      </c>
      <c r="Q30" s="1101">
        <v>3000000</v>
      </c>
      <c r="R30" s="319">
        <f t="shared" si="1"/>
        <v>0</v>
      </c>
      <c r="S30" s="1101">
        <v>0</v>
      </c>
      <c r="T30" s="1102">
        <v>20</v>
      </c>
      <c r="U30" s="215">
        <f t="shared" si="24"/>
        <v>3000000</v>
      </c>
      <c r="V30" s="309">
        <f t="shared" si="25"/>
        <v>-2520000</v>
      </c>
      <c r="W30" s="216">
        <f t="shared" si="2"/>
        <v>11.538461538461538</v>
      </c>
      <c r="X30" s="246"/>
      <c r="Y30" s="15"/>
      <c r="Z30" s="371" t="e">
        <f>IF(OR(AND(#REF!&gt;0,H30&lt;0),AND(H30&gt;0,#REF!=0)),A30,"")</f>
        <v>#REF!</v>
      </c>
      <c r="AA30" s="1103">
        <f t="shared" si="26"/>
        <v>3000000</v>
      </c>
      <c r="AB30" s="1104">
        <f t="shared" si="3"/>
        <v>210000</v>
      </c>
      <c r="AC30" s="1104">
        <f t="shared" si="3"/>
        <v>210000</v>
      </c>
      <c r="AD30" s="1104">
        <f t="shared" si="3"/>
        <v>210000</v>
      </c>
      <c r="AE30" s="1104">
        <f t="shared" si="3"/>
        <v>210000</v>
      </c>
      <c r="AF30" s="1104">
        <f t="shared" si="3"/>
        <v>210000</v>
      </c>
      <c r="AG30" s="1104">
        <f t="shared" si="3"/>
        <v>210000</v>
      </c>
      <c r="AH30" s="1104">
        <f t="shared" si="3"/>
        <v>210000</v>
      </c>
      <c r="AI30" s="1104">
        <f t="shared" si="3"/>
        <v>210000</v>
      </c>
      <c r="AJ30" s="1104">
        <f t="shared" si="3"/>
        <v>210000</v>
      </c>
      <c r="AK30" s="1104">
        <f t="shared" si="3"/>
        <v>210000</v>
      </c>
      <c r="AL30" s="1104">
        <f t="shared" si="4"/>
        <v>210000</v>
      </c>
      <c r="AM30" s="1104">
        <f t="shared" si="4"/>
        <v>210000</v>
      </c>
      <c r="AN30" s="1104">
        <f t="shared" si="4"/>
        <v>210000</v>
      </c>
      <c r="AO30" s="1104">
        <f t="shared" si="4"/>
        <v>210000</v>
      </c>
      <c r="AP30" s="1104">
        <f t="shared" si="4"/>
        <v>210000</v>
      </c>
      <c r="AQ30" s="1104">
        <f t="shared" si="4"/>
        <v>210000</v>
      </c>
      <c r="AR30" s="1104">
        <f t="shared" si="4"/>
        <v>210000</v>
      </c>
      <c r="AS30" s="1104">
        <f t="shared" si="4"/>
        <v>210000</v>
      </c>
      <c r="AT30" s="1104">
        <f t="shared" si="4"/>
        <v>210000</v>
      </c>
      <c r="AU30" s="1104">
        <f t="shared" si="4"/>
        <v>210000</v>
      </c>
      <c r="AV30" s="730">
        <f>IFERROR((esc_elect*H30*kBTUperKWH+esc_gas*#REF!*kBTUperTherm+esc_steam*I30*kBTUperlbsSteam+#REF!*esc_chw*kBTUperUnit_Util4+J30*esc_hw*kBTUperUnit_Util5+K30*esc_oil*kBTUperUnit_Util6)/(H30*kBTUperKWH+#REF!*kBTUperTherm+I30*kBTUperlbsSteam+#REF!*kBTUperUnit_Util4+J30*kBTUperUnit_Util5+K30*kBTUperUnit_Util6),0)</f>
        <v>0</v>
      </c>
      <c r="AW30" s="397">
        <f t="shared" si="5"/>
        <v>2.2746666666666666</v>
      </c>
      <c r="AX30" s="397">
        <f t="shared" si="6"/>
        <v>2.2746666666666666</v>
      </c>
      <c r="AY30" s="397">
        <f t="shared" si="7"/>
        <v>0</v>
      </c>
      <c r="AZ30" s="397">
        <f t="shared" si="8"/>
        <v>2.3879999999999999</v>
      </c>
      <c r="BA30" s="397">
        <f t="shared" si="9"/>
        <v>0</v>
      </c>
      <c r="BB30" s="397">
        <f t="shared" si="10"/>
        <v>0</v>
      </c>
      <c r="BC30" s="397">
        <f t="shared" si="11"/>
        <v>0</v>
      </c>
      <c r="BD30" s="397">
        <f t="shared" si="27"/>
        <v>6.9373333333333331</v>
      </c>
      <c r="BE30" s="398">
        <f>BD30/'Building Info &amp; Assumptions'!$B$372</f>
        <v>4.0041345787092279E-2</v>
      </c>
      <c r="BF30" s="380"/>
      <c r="BG30" s="399">
        <f t="shared" si="12"/>
        <v>100000</v>
      </c>
      <c r="BH30" s="399">
        <f t="shared" si="13"/>
        <v>0</v>
      </c>
      <c r="BI30" s="399">
        <f t="shared" si="14"/>
        <v>0</v>
      </c>
      <c r="BJ30" s="399">
        <f t="shared" si="15"/>
        <v>120000</v>
      </c>
      <c r="BK30" s="399">
        <f t="shared" si="16"/>
        <v>0</v>
      </c>
      <c r="BL30" s="399">
        <f t="shared" si="17"/>
        <v>0</v>
      </c>
      <c r="BM30" s="399">
        <f t="shared" si="18"/>
        <v>0</v>
      </c>
      <c r="BN30" s="375"/>
      <c r="BO30" s="399">
        <f>IF(OR(N30="Constant Demand",O30="Constant Annual"),D30,$D$77*H30+IF(O30='Drop Down Lists'!$BB$2,$I$73*H30,IF(O30='Drop Down Lists'!$BB$4,$I$74*H30,IF(OR(N30='Drop Down Lists'!$BC$2,N30='Drop Down Lists'!$BC$4),$I$76*H30,IF(OR(N30='Drop Down Lists'!$BC$6,'Drop Down Lists'!$BC$8),$I$77*H30,IF(N30='Drop Down Lists'!$BC$5,$I$75*H30,$D$74*H30))))))</f>
        <v>190000</v>
      </c>
      <c r="BP30" s="399">
        <f t="shared" si="19"/>
        <v>0</v>
      </c>
      <c r="BQ30" s="375"/>
      <c r="BR30" s="586">
        <f t="shared" si="20"/>
        <v>310000</v>
      </c>
      <c r="BS30" s="401">
        <f t="shared" si="21"/>
        <v>0</v>
      </c>
      <c r="BT30" s="375"/>
      <c r="BU30" s="722" t="e">
        <f>VLOOKUP('Narrative &amp; Measures'!$A30,Alternatives!$C$15:$I$17,7,FALSE)</f>
        <v>#N/A</v>
      </c>
      <c r="BV30" s="722">
        <f>VLOOKUP('Narrative &amp; Measures'!$A30,Alternatives!$C$38:$I$57,7,FALSE)</f>
        <v>3</v>
      </c>
      <c r="BW30" s="722">
        <f>VLOOKUP('Narrative &amp; Measures'!$A30,Alternatives!$C$63:$I$82,7,FALSE)</f>
        <v>4</v>
      </c>
      <c r="BX30" s="722">
        <f>VLOOKUP('Narrative &amp; Measures'!$A30,Alternatives!$C$88:$I$107,7,FALSE)</f>
        <v>5</v>
      </c>
      <c r="BY30" s="479"/>
      <c r="BZ30" s="723">
        <f t="shared" si="28"/>
        <v>23</v>
      </c>
      <c r="CA30" s="723">
        <f t="shared" si="29"/>
        <v>24</v>
      </c>
      <c r="CB30" s="723">
        <f t="shared" si="30"/>
        <v>25</v>
      </c>
      <c r="CC30" s="722" t="e">
        <f t="shared" si="31"/>
        <v>#N/A</v>
      </c>
      <c r="CD30" s="722">
        <f t="shared" si="32"/>
        <v>23</v>
      </c>
      <c r="CE30" s="722">
        <f t="shared" si="33"/>
        <v>24</v>
      </c>
      <c r="CF30" s="722">
        <f t="shared" si="34"/>
        <v>25</v>
      </c>
      <c r="CH30" s="726">
        <f>IF(AND(OR(B30="Deferred Maintenance",B30="Immediate Repairs: Life Safety and Critical"),_xlfn.IFNA(MATCH($A30,Alternatives!$C$15:$C$17,0),0)&gt;0,_xlfn.IFNA(VLOOKUP($A30,Alternatives!$C$15:$H$17,6,0)="Yes",0)),$P30,0)</f>
        <v>0</v>
      </c>
      <c r="CI30" s="726">
        <f>IF(AND(_xlfn.IFNA(MATCH($A30,Alternatives!$C$38:$C$57,0),0)&gt;0,_xlfn.IFNA(VLOOKUP($A30,Alternatives!$C$38:$H$57,6,0)="Yes",0)),$P30,0)</f>
        <v>0</v>
      </c>
      <c r="CJ30" s="726">
        <f>IF(AND(_xlfn.IFNA(MATCH($A30,Alternatives!$C$63:$C$82,0),0)&gt;0,_xlfn.IFNA(VLOOKUP($A30,Alternatives!$C$63:$H$82,6,0)="Yes",0)),$P30,0)</f>
        <v>0</v>
      </c>
      <c r="CK30" s="726">
        <f>IF(AND(_xlfn.IFNA(MATCH($A30,Alternatives!$C$88:$C$107,0),0)&gt;0,_xlfn.IFNA(VLOOKUP($A30,Alternatives!$C$88:$H$107,6,0)="Yes",0)),$P30,0)</f>
        <v>0</v>
      </c>
    </row>
    <row r="31" spans="1:89" s="104" customFormat="1" ht="42" customHeight="1" outlineLevel="1">
      <c r="A31" s="1106" t="s">
        <v>498</v>
      </c>
      <c r="B31" s="1097" t="s">
        <v>495</v>
      </c>
      <c r="C31" s="1098">
        <f t="shared" si="23"/>
        <v>1870000</v>
      </c>
      <c r="D31" s="351">
        <f t="shared" si="0"/>
        <v>1890000</v>
      </c>
      <c r="E31" s="595">
        <f>IF(B31='Drop Down Lists'!$AU$7,I31*Rate_NatGas+J31*Rate_Steam+K31*rate_util4+L31*Rate_Util5+M31*Rate_util6+H31*($I$75-$I$77),IF(OR(N31="Constant Demand",O31="Constant Annual"),D31,I31*Rate_NatGas+G31*Rate_EleckW+J31*Rate_Steam+K31*rate_util4+L31*Rate_Util5+M31*Rate_util6+IF(O31='Drop Down Lists'!$BB$2,$I$73*H31,IF(O31='Drop Down Lists'!$BB$3,$I$74*H31,IF(OR(N31='Drop Down Lists'!$BC$2,N31='Drop Down Lists'!$BC$4),$I$76*H31,IF(OR(N31='Drop Down Lists'!$BC$6,'Drop Down Lists'!$BC$8),$I$77*H31,IF(N31='Drop Down Lists'!$BC$5,$I$75*H31,$D$74*H31)))))))</f>
        <v>1890000</v>
      </c>
      <c r="F31" s="1105">
        <v>-20000</v>
      </c>
      <c r="G31" s="1099">
        <v>-1000</v>
      </c>
      <c r="H31" s="1099">
        <v>-1000000</v>
      </c>
      <c r="I31" s="1099">
        <v>0</v>
      </c>
      <c r="J31" s="1100">
        <v>50000000</v>
      </c>
      <c r="K31" s="1100">
        <v>0</v>
      </c>
      <c r="L31" s="1100">
        <v>0</v>
      </c>
      <c r="M31" s="1100">
        <v>0</v>
      </c>
      <c r="N31" s="352" t="s">
        <v>416</v>
      </c>
      <c r="O31" s="352" t="s">
        <v>417</v>
      </c>
      <c r="P31" s="791">
        <f>IF(B31="Carbon Offsets",Q31/'Building Info &amp; Assumptions'!$B$119,H31*CO2_perEleckBTU*kBTUperKWH+I31*CO2_perNatGaskBTU*kBTUperTherm+J31*CO2_perSteamkBTU*kBTUperlbsSteam+K31*CO2_perUtil4kBTU*kBTUperUnit_Util4+L31*CO2_perUtil5kBTU*kBTUperUnit_Util5+M31*CO2_perUtil6kBTU*kBTUperUnit_Util6)</f>
        <v>2393.3587200000002</v>
      </c>
      <c r="Q31" s="1101">
        <v>25000000</v>
      </c>
      <c r="R31" s="319">
        <f t="shared" si="1"/>
        <v>-850</v>
      </c>
      <c r="S31" s="1101">
        <v>0</v>
      </c>
      <c r="T31" s="1102">
        <v>15</v>
      </c>
      <c r="U31" s="215">
        <f t="shared" si="24"/>
        <v>25000000</v>
      </c>
      <c r="V31" s="309">
        <f t="shared" si="25"/>
        <v>-22440000</v>
      </c>
      <c r="W31" s="216">
        <f t="shared" si="2"/>
        <v>13.368983957219251</v>
      </c>
      <c r="X31" s="246"/>
      <c r="Y31" s="15"/>
      <c r="Z31" s="371" t="e">
        <f>IF(OR(AND(#REF!&gt;0,H31&lt;0),AND(H31&gt;0,#REF!=0)),A31,"")</f>
        <v>#REF!</v>
      </c>
      <c r="AA31" s="1103">
        <f t="shared" si="26"/>
        <v>25000000</v>
      </c>
      <c r="AB31" s="1104">
        <f t="shared" si="3"/>
        <v>1870000</v>
      </c>
      <c r="AC31" s="1104">
        <f t="shared" si="3"/>
        <v>1870000</v>
      </c>
      <c r="AD31" s="1104">
        <f t="shared" si="3"/>
        <v>1870000</v>
      </c>
      <c r="AE31" s="1104">
        <f t="shared" si="3"/>
        <v>1870000</v>
      </c>
      <c r="AF31" s="1104">
        <f t="shared" si="3"/>
        <v>1870000</v>
      </c>
      <c r="AG31" s="1104">
        <f t="shared" si="3"/>
        <v>1870000</v>
      </c>
      <c r="AH31" s="1104">
        <f t="shared" si="3"/>
        <v>1870000</v>
      </c>
      <c r="AI31" s="1104">
        <f t="shared" si="3"/>
        <v>1870000</v>
      </c>
      <c r="AJ31" s="1104">
        <f t="shared" si="3"/>
        <v>1870000</v>
      </c>
      <c r="AK31" s="1104">
        <f t="shared" si="3"/>
        <v>1870000</v>
      </c>
      <c r="AL31" s="1104">
        <f t="shared" si="4"/>
        <v>1870000</v>
      </c>
      <c r="AM31" s="1104">
        <f t="shared" si="4"/>
        <v>1870000</v>
      </c>
      <c r="AN31" s="1104">
        <f t="shared" si="4"/>
        <v>1870000</v>
      </c>
      <c r="AO31" s="1104">
        <f t="shared" si="4"/>
        <v>1870000</v>
      </c>
      <c r="AP31" s="1104">
        <f t="shared" si="4"/>
        <v>1870000</v>
      </c>
      <c r="AQ31" s="1104">
        <f t="shared" si="4"/>
        <v>0</v>
      </c>
      <c r="AR31" s="1104">
        <f t="shared" si="4"/>
        <v>0</v>
      </c>
      <c r="AS31" s="1104">
        <f t="shared" si="4"/>
        <v>0</v>
      </c>
      <c r="AT31" s="1104">
        <f t="shared" si="4"/>
        <v>0</v>
      </c>
      <c r="AU31" s="1104">
        <f t="shared" si="4"/>
        <v>0</v>
      </c>
      <c r="AV31" s="730">
        <f>IFERROR((esc_elect*H31*kBTUperKWH+esc_gas*#REF!*kBTUperTherm+esc_steam*I31*kBTUperlbsSteam+#REF!*esc_chw*kBTUperUnit_Util4+J31*esc_hw*kBTUperUnit_Util5+K31*esc_oil*kBTUperUnit_Util6)/(H31*kBTUperKWH+#REF!*kBTUperTherm+I31*kBTUperlbsSteam+#REF!*kBTUperUnit_Util4+J31*kBTUperUnit_Util5+K31*kBTUperUnit_Util6),0)</f>
        <v>0</v>
      </c>
      <c r="AW31" s="397">
        <f t="shared" si="5"/>
        <v>-2.2746666666666666</v>
      </c>
      <c r="AX31" s="397">
        <f t="shared" si="6"/>
        <v>-2.2746666666666666</v>
      </c>
      <c r="AY31" s="397">
        <f t="shared" si="7"/>
        <v>0</v>
      </c>
      <c r="AZ31" s="397">
        <f t="shared" si="8"/>
        <v>39.799999999999997</v>
      </c>
      <c r="BA31" s="397">
        <f t="shared" si="9"/>
        <v>0</v>
      </c>
      <c r="BB31" s="397">
        <f t="shared" si="10"/>
        <v>0</v>
      </c>
      <c r="BC31" s="397">
        <f t="shared" si="11"/>
        <v>0</v>
      </c>
      <c r="BD31" s="397">
        <f t="shared" si="27"/>
        <v>35.25066666666666</v>
      </c>
      <c r="BE31" s="398">
        <f>BD31/'Building Info &amp; Assumptions'!$B$372</f>
        <v>0.20346206033425823</v>
      </c>
      <c r="BF31" s="380"/>
      <c r="BG31" s="399">
        <f t="shared" si="12"/>
        <v>-100000</v>
      </c>
      <c r="BH31" s="399">
        <f t="shared" si="13"/>
        <v>-10000</v>
      </c>
      <c r="BI31" s="399">
        <f t="shared" si="14"/>
        <v>0</v>
      </c>
      <c r="BJ31" s="399">
        <f t="shared" si="15"/>
        <v>2000000</v>
      </c>
      <c r="BK31" s="399">
        <f t="shared" si="16"/>
        <v>0</v>
      </c>
      <c r="BL31" s="399">
        <f t="shared" si="17"/>
        <v>0</v>
      </c>
      <c r="BM31" s="399">
        <f t="shared" si="18"/>
        <v>0</v>
      </c>
      <c r="BN31" s="375"/>
      <c r="BO31" s="399">
        <f>IF(OR(N31="Constant Demand",O31="Constant Annual"),D31,$D$77*H31+IF(O31='Drop Down Lists'!$BB$2,$I$73*H31,IF(O31='Drop Down Lists'!$BB$4,$I$74*H31,IF(OR(N31='Drop Down Lists'!$BC$2,N31='Drop Down Lists'!$BC$4),$I$76*H31,IF(OR(N31='Drop Down Lists'!$BC$6,'Drop Down Lists'!$BC$8),$I$77*H31,IF(N31='Drop Down Lists'!$BC$5,$I$75*H31,$D$74*H31))))))</f>
        <v>-140000</v>
      </c>
      <c r="BP31" s="399">
        <f t="shared" si="19"/>
        <v>-10000</v>
      </c>
      <c r="BQ31" s="375"/>
      <c r="BR31" s="586">
        <f t="shared" si="20"/>
        <v>1900000</v>
      </c>
      <c r="BS31" s="401">
        <f t="shared" si="21"/>
        <v>-10000</v>
      </c>
      <c r="BT31" s="375"/>
      <c r="BU31" s="722" t="e">
        <f>VLOOKUP('Narrative &amp; Measures'!$A31,Alternatives!$C$15:$I$17,7,FALSE)</f>
        <v>#N/A</v>
      </c>
      <c r="BV31" s="722">
        <f>VLOOKUP('Narrative &amp; Measures'!$A31,Alternatives!$C$38:$I$57,7,FALSE)</f>
        <v>8</v>
      </c>
      <c r="BW31" s="722" t="e">
        <f>VLOOKUP('Narrative &amp; Measures'!$A31,Alternatives!$C$63:$I$82,7,FALSE)</f>
        <v>#N/A</v>
      </c>
      <c r="BX31" s="722" t="e">
        <f>VLOOKUP('Narrative &amp; Measures'!$A31,Alternatives!$C$88:$I$107,7,FALSE)</f>
        <v>#N/A</v>
      </c>
      <c r="BY31" s="479"/>
      <c r="BZ31" s="723">
        <f t="shared" si="28"/>
        <v>23</v>
      </c>
      <c r="CA31" s="723" t="e">
        <f t="shared" si="29"/>
        <v>#N/A</v>
      </c>
      <c r="CB31" s="723" t="e">
        <f t="shared" si="30"/>
        <v>#N/A</v>
      </c>
      <c r="CC31" s="722" t="e">
        <f t="shared" si="31"/>
        <v>#N/A</v>
      </c>
      <c r="CD31" s="722">
        <f t="shared" si="32"/>
        <v>23</v>
      </c>
      <c r="CE31" s="722" t="e">
        <f t="shared" si="33"/>
        <v>#N/A</v>
      </c>
      <c r="CF31" s="722" t="e">
        <f t="shared" si="34"/>
        <v>#N/A</v>
      </c>
      <c r="CH31" s="726">
        <f>IF(AND(OR(B31="Deferred Maintenance",B31="Immediate Repairs: Life Safety and Critical"),_xlfn.IFNA(MATCH($A31,Alternatives!$C$15:$C$17,0),0)&gt;0,_xlfn.IFNA(VLOOKUP($A31,Alternatives!$C$15:$H$17,6,0)="Yes",0)),$P31,0)</f>
        <v>0</v>
      </c>
      <c r="CI31" s="726">
        <f>IF(AND(_xlfn.IFNA(MATCH($A31,Alternatives!$C$38:$C$57,0),0)&gt;0,_xlfn.IFNA(VLOOKUP($A31,Alternatives!$C$38:$H$57,6,0)="Yes",0)),$P31,0)</f>
        <v>0</v>
      </c>
      <c r="CJ31" s="726">
        <f>IF(AND(_xlfn.IFNA(MATCH($A31,Alternatives!$C$63:$C$82,0),0)&gt;0,_xlfn.IFNA(VLOOKUP($A31,Alternatives!$C$63:$H$82,6,0)="Yes",0)),$P31,0)</f>
        <v>0</v>
      </c>
      <c r="CK31" s="726">
        <f>IF(AND(_xlfn.IFNA(MATCH($A31,Alternatives!$C$88:$C$107,0),0)&gt;0,_xlfn.IFNA(VLOOKUP($A31,Alternatives!$C$88:$H$107,6,0)="Yes",0)),$P31,0)</f>
        <v>0</v>
      </c>
    </row>
    <row r="32" spans="1:89" s="104" customFormat="1" ht="42" customHeight="1" outlineLevel="1">
      <c r="A32" s="1106" t="s">
        <v>499</v>
      </c>
      <c r="B32" s="1097" t="s">
        <v>495</v>
      </c>
      <c r="C32" s="1098">
        <f t="shared" si="23"/>
        <v>-130000</v>
      </c>
      <c r="D32" s="351">
        <f t="shared" si="0"/>
        <v>-130000</v>
      </c>
      <c r="E32" s="595">
        <f>IF(B32='Drop Down Lists'!$AU$7,I32*Rate_NatGas+J32*Rate_Steam+K32*rate_util4+L32*Rate_Util5+M32*Rate_util6+H32*($I$75-$I$77),IF(OR(N32="Constant Demand",O32="Constant Annual"),D32,I32*Rate_NatGas+G32*Rate_EleckW+J32*Rate_Steam+K32*rate_util4+L32*Rate_Util5+M32*Rate_util6+IF(O32='Drop Down Lists'!$BB$2,$I$73*H32,IF(O32='Drop Down Lists'!$BB$3,$I$74*H32,IF(OR(N32='Drop Down Lists'!$BC$2,N32='Drop Down Lists'!$BC$4),$I$76*H32,IF(OR(N32='Drop Down Lists'!$BC$6,'Drop Down Lists'!$BC$8),$I$77*H32,IF(N32='Drop Down Lists'!$BC$5,$I$75*H32,$D$74*H32)))))))</f>
        <v>-130000</v>
      </c>
      <c r="F32" s="1105">
        <v>0</v>
      </c>
      <c r="G32" s="1099">
        <v>-3000</v>
      </c>
      <c r="H32" s="1099">
        <f>-3000000</f>
        <v>-3000000</v>
      </c>
      <c r="I32" s="1099">
        <v>0</v>
      </c>
      <c r="J32" s="1100">
        <v>5000000</v>
      </c>
      <c r="K32" s="1100">
        <v>0</v>
      </c>
      <c r="L32" s="1100">
        <v>0</v>
      </c>
      <c r="M32" s="1100">
        <v>0</v>
      </c>
      <c r="N32" s="352" t="s">
        <v>416</v>
      </c>
      <c r="O32" s="352" t="s">
        <v>417</v>
      </c>
      <c r="P32" s="791">
        <f>IF(B32="Carbon Offsets",Q32/'Building Info &amp; Assumptions'!$B$119,H32*CO2_perEleckBTU*kBTUperKWH+I32*CO2_perNatGaskBTU*kBTUperTherm+J32*CO2_perSteamkBTU*kBTUperlbsSteam+K32*CO2_perUtil4kBTU*kBTUperUnit_Util4+L32*CO2_perUtil5kBTU*kBTUperUnit_Util5+M32*CO2_perUtil6kBTU*kBTUperUnit_Util6)</f>
        <v>-598.65473999999995</v>
      </c>
      <c r="Q32" s="1101">
        <v>200000</v>
      </c>
      <c r="R32" s="319">
        <f t="shared" si="1"/>
        <v>-2550</v>
      </c>
      <c r="S32" s="1101">
        <v>0</v>
      </c>
      <c r="T32" s="1102">
        <v>20</v>
      </c>
      <c r="U32" s="215">
        <f t="shared" si="24"/>
        <v>200000</v>
      </c>
      <c r="V32" s="309">
        <f t="shared" si="25"/>
        <v>1560000</v>
      </c>
      <c r="W32" s="216">
        <f t="shared" si="2"/>
        <v>-1.5384615384615385</v>
      </c>
      <c r="X32" s="246"/>
      <c r="Y32" s="15"/>
      <c r="Z32" s="371" t="e">
        <f>IF(OR(AND(#REF!&gt;0,H32&lt;0),AND(H32&gt;0,#REF!=0)),A32,"")</f>
        <v>#REF!</v>
      </c>
      <c r="AA32" s="1103">
        <f t="shared" si="26"/>
        <v>200000</v>
      </c>
      <c r="AB32" s="1104">
        <f t="shared" si="3"/>
        <v>-130000</v>
      </c>
      <c r="AC32" s="1104">
        <f t="shared" si="3"/>
        <v>-130000</v>
      </c>
      <c r="AD32" s="1104">
        <f t="shared" si="3"/>
        <v>-130000</v>
      </c>
      <c r="AE32" s="1104">
        <f t="shared" si="3"/>
        <v>-130000</v>
      </c>
      <c r="AF32" s="1104">
        <f t="shared" si="3"/>
        <v>-130000</v>
      </c>
      <c r="AG32" s="1104">
        <f t="shared" si="3"/>
        <v>-130000</v>
      </c>
      <c r="AH32" s="1104">
        <f t="shared" si="3"/>
        <v>-130000</v>
      </c>
      <c r="AI32" s="1104">
        <f t="shared" si="3"/>
        <v>-130000</v>
      </c>
      <c r="AJ32" s="1104">
        <f t="shared" si="3"/>
        <v>-130000</v>
      </c>
      <c r="AK32" s="1104">
        <f t="shared" si="3"/>
        <v>-130000</v>
      </c>
      <c r="AL32" s="1104">
        <f t="shared" si="4"/>
        <v>-130000</v>
      </c>
      <c r="AM32" s="1104">
        <f t="shared" si="4"/>
        <v>-130000</v>
      </c>
      <c r="AN32" s="1104">
        <f t="shared" si="4"/>
        <v>-130000</v>
      </c>
      <c r="AO32" s="1104">
        <f t="shared" si="4"/>
        <v>-130000</v>
      </c>
      <c r="AP32" s="1104">
        <f t="shared" si="4"/>
        <v>-130000</v>
      </c>
      <c r="AQ32" s="1104">
        <f t="shared" si="4"/>
        <v>-130000</v>
      </c>
      <c r="AR32" s="1104">
        <f t="shared" si="4"/>
        <v>-130000</v>
      </c>
      <c r="AS32" s="1104">
        <f t="shared" si="4"/>
        <v>-130000</v>
      </c>
      <c r="AT32" s="1104">
        <f t="shared" si="4"/>
        <v>-130000</v>
      </c>
      <c r="AU32" s="1104">
        <f t="shared" si="4"/>
        <v>-130000</v>
      </c>
      <c r="AV32" s="730">
        <f>IFERROR((esc_elect*H32*kBTUperKWH+esc_gas*#REF!*kBTUperTherm+esc_steam*I32*kBTUperlbsSteam+#REF!*esc_chw*kBTUperUnit_Util4+J32*esc_hw*kBTUperUnit_Util5+K32*esc_oil*kBTUperUnit_Util6)/(H32*kBTUperKWH+#REF!*kBTUperTherm+I32*kBTUperlbsSteam+#REF!*kBTUperUnit_Util4+J32*kBTUperUnit_Util5+K32*kBTUperUnit_Util6),0)</f>
        <v>0</v>
      </c>
      <c r="AW32" s="397">
        <f t="shared" si="5"/>
        <v>-6.8239999999999998</v>
      </c>
      <c r="AX32" s="397">
        <f t="shared" si="6"/>
        <v>-6.8239999999999998</v>
      </c>
      <c r="AY32" s="397">
        <f t="shared" si="7"/>
        <v>0</v>
      </c>
      <c r="AZ32" s="397">
        <f t="shared" si="8"/>
        <v>3.98</v>
      </c>
      <c r="BA32" s="397">
        <f t="shared" si="9"/>
        <v>0</v>
      </c>
      <c r="BB32" s="397">
        <f t="shared" si="10"/>
        <v>0</v>
      </c>
      <c r="BC32" s="397">
        <f t="shared" si="11"/>
        <v>0</v>
      </c>
      <c r="BD32" s="397">
        <f t="shared" si="27"/>
        <v>-9.6679999999999993</v>
      </c>
      <c r="BE32" s="398">
        <f>BD32/'Building Info &amp; Assumptions'!$B$372</f>
        <v>-5.5802382914127639E-2</v>
      </c>
      <c r="BF32" s="380"/>
      <c r="BG32" s="399">
        <f t="shared" si="12"/>
        <v>-300000</v>
      </c>
      <c r="BH32" s="399">
        <f t="shared" si="13"/>
        <v>-30000</v>
      </c>
      <c r="BI32" s="399">
        <f t="shared" si="14"/>
        <v>0</v>
      </c>
      <c r="BJ32" s="399">
        <f t="shared" si="15"/>
        <v>200000</v>
      </c>
      <c r="BK32" s="399">
        <f t="shared" si="16"/>
        <v>0</v>
      </c>
      <c r="BL32" s="399">
        <f t="shared" si="17"/>
        <v>0</v>
      </c>
      <c r="BM32" s="399">
        <f t="shared" si="18"/>
        <v>0</v>
      </c>
      <c r="BN32" s="375"/>
      <c r="BO32" s="399">
        <f>IF(OR(N32="Constant Demand",O32="Constant Annual"),D32,$D$77*H32+IF(O32='Drop Down Lists'!$BB$2,$I$73*H32,IF(O32='Drop Down Lists'!$BB$4,$I$74*H32,IF(OR(N32='Drop Down Lists'!$BC$2,N32='Drop Down Lists'!$BC$4),$I$76*H32,IF(OR(N32='Drop Down Lists'!$BC$6,'Drop Down Lists'!$BC$8),$I$77*H32,IF(N32='Drop Down Lists'!$BC$5,$I$75*H32,$D$74*H32))))))</f>
        <v>-420000</v>
      </c>
      <c r="BP32" s="399">
        <f t="shared" si="19"/>
        <v>-30000</v>
      </c>
      <c r="BQ32" s="375"/>
      <c r="BR32" s="586">
        <f t="shared" si="20"/>
        <v>-100000</v>
      </c>
      <c r="BS32" s="401">
        <f t="shared" si="21"/>
        <v>-30000</v>
      </c>
      <c r="BT32" s="375"/>
      <c r="BU32" s="722" t="e">
        <f>VLOOKUP('Narrative &amp; Measures'!$A32,Alternatives!$C$15:$I$17,7,FALSE)</f>
        <v>#N/A</v>
      </c>
      <c r="BV32" s="722">
        <f>VLOOKUP('Narrative &amp; Measures'!$A32,Alternatives!$C$38:$I$57,7,FALSE)</f>
        <v>5</v>
      </c>
      <c r="BW32" s="722" t="e">
        <f>VLOOKUP('Narrative &amp; Measures'!$A32,Alternatives!$C$63:$I$82,7,FALSE)</f>
        <v>#N/A</v>
      </c>
      <c r="BX32" s="722" t="e">
        <f>VLOOKUP('Narrative &amp; Measures'!$A32,Alternatives!$C$88:$I$107,7,FALSE)</f>
        <v>#N/A</v>
      </c>
      <c r="BY32" s="479"/>
      <c r="BZ32" s="723">
        <f t="shared" si="28"/>
        <v>25</v>
      </c>
      <c r="CA32" s="723" t="e">
        <f t="shared" si="29"/>
        <v>#N/A</v>
      </c>
      <c r="CB32" s="723" t="e">
        <f t="shared" si="30"/>
        <v>#N/A</v>
      </c>
      <c r="CC32" s="722" t="e">
        <f t="shared" si="31"/>
        <v>#N/A</v>
      </c>
      <c r="CD32" s="722">
        <f t="shared" si="32"/>
        <v>25</v>
      </c>
      <c r="CE32" s="722" t="e">
        <f t="shared" si="33"/>
        <v>#N/A</v>
      </c>
      <c r="CF32" s="722" t="e">
        <f t="shared" si="34"/>
        <v>#N/A</v>
      </c>
      <c r="CH32" s="726">
        <f>IF(AND(OR(B32="Deferred Maintenance",B32="Immediate Repairs: Life Safety and Critical"),_xlfn.IFNA(MATCH($A32,Alternatives!$C$15:$C$17,0),0)&gt;0,_xlfn.IFNA(VLOOKUP($A32,Alternatives!$C$15:$H$17,6,0)="Yes",0)),$P32,0)</f>
        <v>0</v>
      </c>
      <c r="CI32" s="726">
        <f>IF(AND(_xlfn.IFNA(MATCH($A32,Alternatives!$C$38:$C$57,0),0)&gt;0,_xlfn.IFNA(VLOOKUP($A32,Alternatives!$C$38:$H$57,6,0)="Yes",0)),$P32,0)</f>
        <v>0</v>
      </c>
      <c r="CJ32" s="726">
        <f>IF(AND(_xlfn.IFNA(MATCH($A32,Alternatives!$C$63:$C$82,0),0)&gt;0,_xlfn.IFNA(VLOOKUP($A32,Alternatives!$C$63:$H$82,6,0)="Yes",0)),$P32,0)</f>
        <v>0</v>
      </c>
      <c r="CK32" s="726">
        <f>IF(AND(_xlfn.IFNA(MATCH($A32,Alternatives!$C$88:$C$107,0),0)&gt;0,_xlfn.IFNA(VLOOKUP($A32,Alternatives!$C$88:$H$107,6,0)="Yes",0)),$P32,0)</f>
        <v>0</v>
      </c>
    </row>
    <row r="33" spans="1:89" s="104" customFormat="1" ht="42" customHeight="1" outlineLevel="1">
      <c r="A33" s="1106" t="s">
        <v>500</v>
      </c>
      <c r="B33" s="1097" t="s">
        <v>495</v>
      </c>
      <c r="C33" s="1098">
        <f t="shared" si="23"/>
        <v>400000</v>
      </c>
      <c r="D33" s="351">
        <f t="shared" si="0"/>
        <v>400000</v>
      </c>
      <c r="E33" s="595">
        <f>IF(B33='Drop Down Lists'!$AU$7,I33*Rate_NatGas+J33*Rate_Steam+K33*rate_util4+L33*Rate_Util5+M33*Rate_util6+H33*($I$75-$I$77),IF(OR(N33="Constant Demand",O33="Constant Annual"),D33,I33*Rate_NatGas+G33*Rate_EleckW+J33*Rate_Steam+K33*rate_util4+L33*Rate_Util5+M33*Rate_util6+IF(O33='Drop Down Lists'!$BB$2,$I$73*H33,IF(O33='Drop Down Lists'!$BB$3,$I$74*H33,IF(OR(N33='Drop Down Lists'!$BC$2,N33='Drop Down Lists'!$BC$4),$I$76*H33,IF(OR(N33='Drop Down Lists'!$BC$6,'Drop Down Lists'!$BC$8),$I$77*H33,IF(N33='Drop Down Lists'!$BC$5,$I$75*H33,$D$74*H33)))))))</f>
        <v>400000</v>
      </c>
      <c r="F33" s="1105">
        <v>0</v>
      </c>
      <c r="G33" s="1099">
        <v>-10000</v>
      </c>
      <c r="H33" s="1099">
        <v>-15000000</v>
      </c>
      <c r="I33" s="1099">
        <v>0</v>
      </c>
      <c r="J33" s="1100">
        <v>50000000</v>
      </c>
      <c r="K33" s="1100">
        <v>0</v>
      </c>
      <c r="L33" s="1100">
        <v>0</v>
      </c>
      <c r="M33" s="1100">
        <v>0</v>
      </c>
      <c r="N33" s="352" t="s">
        <v>416</v>
      </c>
      <c r="O33" s="352" t="s">
        <v>417</v>
      </c>
      <c r="P33" s="791">
        <f>IF(B33="Carbon Offsets",Q33/'Building Info &amp; Assumptions'!$B$119,H33*CO2_perEleckBTU*kBTUperKWH+I33*CO2_perNatGaskBTU*kBTUperTherm+J33*CO2_perSteamkBTU*kBTUperlbsSteam+K33*CO2_perUtil4kBTU*kBTUperUnit_Util4+L33*CO2_perUtil5kBTU*kBTUperUnit_Util5+M33*CO2_perUtil6kBTU*kBTUperUnit_Util6)</f>
        <v>-1652.1132000000007</v>
      </c>
      <c r="Q33" s="1101">
        <v>2000000</v>
      </c>
      <c r="R33" s="319">
        <f t="shared" si="1"/>
        <v>-8500</v>
      </c>
      <c r="S33" s="1101">
        <v>0</v>
      </c>
      <c r="T33" s="1102">
        <v>20</v>
      </c>
      <c r="U33" s="215">
        <f t="shared" si="24"/>
        <v>2000000</v>
      </c>
      <c r="V33" s="309">
        <f t="shared" si="25"/>
        <v>-4800000</v>
      </c>
      <c r="W33" s="216">
        <f t="shared" si="2"/>
        <v>5</v>
      </c>
      <c r="X33" s="246"/>
      <c r="Y33" s="15"/>
      <c r="Z33" s="371" t="e">
        <f>IF(OR(AND(#REF!&gt;0,H33&lt;0),AND(H33&gt;0,#REF!=0)),A33,"")</f>
        <v>#REF!</v>
      </c>
      <c r="AA33" s="1103">
        <f t="shared" si="26"/>
        <v>2000000</v>
      </c>
      <c r="AB33" s="1104">
        <f t="shared" si="3"/>
        <v>400000</v>
      </c>
      <c r="AC33" s="1104">
        <f t="shared" si="3"/>
        <v>400000</v>
      </c>
      <c r="AD33" s="1104">
        <f t="shared" si="3"/>
        <v>400000</v>
      </c>
      <c r="AE33" s="1104">
        <f t="shared" si="3"/>
        <v>400000</v>
      </c>
      <c r="AF33" s="1104">
        <f t="shared" si="3"/>
        <v>400000</v>
      </c>
      <c r="AG33" s="1104">
        <f t="shared" si="3"/>
        <v>400000</v>
      </c>
      <c r="AH33" s="1104">
        <f t="shared" si="3"/>
        <v>400000</v>
      </c>
      <c r="AI33" s="1104">
        <f t="shared" si="3"/>
        <v>400000</v>
      </c>
      <c r="AJ33" s="1104">
        <f t="shared" si="3"/>
        <v>400000</v>
      </c>
      <c r="AK33" s="1104">
        <f t="shared" si="3"/>
        <v>400000</v>
      </c>
      <c r="AL33" s="1104">
        <f t="shared" si="4"/>
        <v>400000</v>
      </c>
      <c r="AM33" s="1104">
        <f t="shared" si="4"/>
        <v>400000</v>
      </c>
      <c r="AN33" s="1104">
        <f t="shared" si="4"/>
        <v>400000</v>
      </c>
      <c r="AO33" s="1104">
        <f t="shared" si="4"/>
        <v>400000</v>
      </c>
      <c r="AP33" s="1104">
        <f t="shared" si="4"/>
        <v>400000</v>
      </c>
      <c r="AQ33" s="1104">
        <f t="shared" si="4"/>
        <v>400000</v>
      </c>
      <c r="AR33" s="1104">
        <f t="shared" si="4"/>
        <v>400000</v>
      </c>
      <c r="AS33" s="1104">
        <f t="shared" si="4"/>
        <v>400000</v>
      </c>
      <c r="AT33" s="1104">
        <f t="shared" si="4"/>
        <v>400000</v>
      </c>
      <c r="AU33" s="1104">
        <f t="shared" si="4"/>
        <v>400000</v>
      </c>
      <c r="AV33" s="730">
        <f>IFERROR((esc_elect*H33*kBTUperKWH+esc_gas*#REF!*kBTUperTherm+esc_steam*I33*kBTUperlbsSteam+#REF!*esc_chw*kBTUperUnit_Util4+J33*esc_hw*kBTUperUnit_Util5+K33*esc_oil*kBTUperUnit_Util6)/(H33*kBTUperKWH+#REF!*kBTUperTherm+I33*kBTUperlbsSteam+#REF!*kBTUperUnit_Util4+J33*kBTUperUnit_Util5+K33*kBTUperUnit_Util6),0)</f>
        <v>0</v>
      </c>
      <c r="AW33" s="397">
        <f t="shared" si="5"/>
        <v>-34.119999999999997</v>
      </c>
      <c r="AX33" s="397">
        <f t="shared" si="6"/>
        <v>-34.119999999999997</v>
      </c>
      <c r="AY33" s="397">
        <f t="shared" si="7"/>
        <v>0</v>
      </c>
      <c r="AZ33" s="397">
        <f t="shared" si="8"/>
        <v>39.799999999999997</v>
      </c>
      <c r="BA33" s="397">
        <f t="shared" si="9"/>
        <v>0</v>
      </c>
      <c r="BB33" s="397">
        <f t="shared" si="10"/>
        <v>0</v>
      </c>
      <c r="BC33" s="397">
        <f t="shared" si="11"/>
        <v>0</v>
      </c>
      <c r="BD33" s="397">
        <f t="shared" si="27"/>
        <v>-28.439999999999998</v>
      </c>
      <c r="BE33" s="398">
        <f>BD33/'Building Info &amp; Assumptions'!$B$372</f>
        <v>-0.16415181734358605</v>
      </c>
      <c r="BF33" s="380"/>
      <c r="BG33" s="399">
        <f t="shared" si="12"/>
        <v>-1500000</v>
      </c>
      <c r="BH33" s="399">
        <f t="shared" si="13"/>
        <v>-100000</v>
      </c>
      <c r="BI33" s="399">
        <f t="shared" si="14"/>
        <v>0</v>
      </c>
      <c r="BJ33" s="399">
        <f t="shared" si="15"/>
        <v>2000000</v>
      </c>
      <c r="BK33" s="399">
        <f t="shared" si="16"/>
        <v>0</v>
      </c>
      <c r="BL33" s="399">
        <f t="shared" si="17"/>
        <v>0</v>
      </c>
      <c r="BM33" s="399">
        <f t="shared" si="18"/>
        <v>0</v>
      </c>
      <c r="BN33" s="375"/>
      <c r="BO33" s="399">
        <f>IF(OR(N33="Constant Demand",O33="Constant Annual"),D33,$D$77*H33+IF(O33='Drop Down Lists'!$BB$2,$I$73*H33,IF(O33='Drop Down Lists'!$BB$4,$I$74*H33,IF(OR(N33='Drop Down Lists'!$BC$2,N33='Drop Down Lists'!$BC$4),$I$76*H33,IF(OR(N33='Drop Down Lists'!$BC$6,'Drop Down Lists'!$BC$8),$I$77*H33,IF(N33='Drop Down Lists'!$BC$5,$I$75*H33,$D$74*H33))))))</f>
        <v>-2100000</v>
      </c>
      <c r="BP33" s="399">
        <f t="shared" si="19"/>
        <v>-100000</v>
      </c>
      <c r="BQ33" s="375"/>
      <c r="BR33" s="586">
        <f t="shared" si="20"/>
        <v>500000</v>
      </c>
      <c r="BS33" s="401">
        <f t="shared" si="21"/>
        <v>-100000</v>
      </c>
      <c r="BT33" s="375"/>
      <c r="BU33" s="722" t="e">
        <f>VLOOKUP('Narrative &amp; Measures'!$A33,Alternatives!$C$15:$I$17,7,FALSE)</f>
        <v>#N/A</v>
      </c>
      <c r="BV33" s="722" t="e">
        <f>VLOOKUP('Narrative &amp; Measures'!$A33,Alternatives!$C$38:$I$57,7,FALSE)</f>
        <v>#N/A</v>
      </c>
      <c r="BW33" s="722">
        <f>VLOOKUP('Narrative &amp; Measures'!$A33,Alternatives!$C$63:$I$82,7,FALSE)</f>
        <v>8</v>
      </c>
      <c r="BX33" s="722">
        <f>VLOOKUP('Narrative &amp; Measures'!$A33,Alternatives!$C$88:$I$107,7,FALSE)</f>
        <v>7</v>
      </c>
      <c r="BY33" s="479"/>
      <c r="BZ33" s="723" t="e">
        <f t="shared" si="28"/>
        <v>#N/A</v>
      </c>
      <c r="CA33" s="723">
        <f t="shared" si="29"/>
        <v>28</v>
      </c>
      <c r="CB33" s="723">
        <f t="shared" si="30"/>
        <v>27</v>
      </c>
      <c r="CC33" s="722" t="e">
        <f t="shared" si="31"/>
        <v>#N/A</v>
      </c>
      <c r="CD33" s="722" t="e">
        <f t="shared" si="32"/>
        <v>#N/A</v>
      </c>
      <c r="CE33" s="722">
        <f t="shared" si="33"/>
        <v>28</v>
      </c>
      <c r="CF33" s="722">
        <f t="shared" si="34"/>
        <v>27</v>
      </c>
      <c r="CH33" s="726">
        <f>IF(AND(OR(B33="Deferred Maintenance",B33="Immediate Repairs: Life Safety and Critical"),_xlfn.IFNA(MATCH($A33,Alternatives!$C$15:$C$17,0),0)&gt;0,_xlfn.IFNA(VLOOKUP($A33,Alternatives!$C$15:$H$17,6,0)="Yes",0)),$P33,0)</f>
        <v>0</v>
      </c>
      <c r="CI33" s="726">
        <f>IF(AND(_xlfn.IFNA(MATCH($A33,Alternatives!$C$38:$C$57,0),0)&gt;0,_xlfn.IFNA(VLOOKUP($A33,Alternatives!$C$38:$H$57,6,0)="Yes",0)),$P33,0)</f>
        <v>0</v>
      </c>
      <c r="CJ33" s="726">
        <f>IF(AND(_xlfn.IFNA(MATCH($A33,Alternatives!$C$63:$C$82,0),0)&gt;0,_xlfn.IFNA(VLOOKUP($A33,Alternatives!$C$63:$H$82,6,0)="Yes",0)),$P33,0)</f>
        <v>0</v>
      </c>
      <c r="CK33" s="726">
        <f>IF(AND(_xlfn.IFNA(MATCH($A33,Alternatives!$C$88:$C$107,0),0)&gt;0,_xlfn.IFNA(VLOOKUP($A33,Alternatives!$C$88:$H$107,6,0)="Yes",0)),$P33,0)</f>
        <v>0</v>
      </c>
    </row>
    <row r="34" spans="1:89" s="104" customFormat="1" ht="42" customHeight="1" outlineLevel="1">
      <c r="A34" s="1106" t="s">
        <v>501</v>
      </c>
      <c r="B34" s="1097" t="s">
        <v>495</v>
      </c>
      <c r="C34" s="1098">
        <f t="shared" si="23"/>
        <v>0</v>
      </c>
      <c r="D34" s="351">
        <f t="shared" si="0"/>
        <v>0</v>
      </c>
      <c r="E34" s="595">
        <f>IF(B34='Drop Down Lists'!$AU$7,I34*Rate_NatGas+J34*Rate_Steam+K34*rate_util4+L34*Rate_Util5+M34*Rate_util6+H34*($I$75-$I$77),IF(OR(N34="Constant Demand",O34="Constant Annual"),D34,I34*Rate_NatGas+G34*Rate_EleckW+J34*Rate_Steam+K34*rate_util4+L34*Rate_Util5+M34*Rate_util6+IF(O34='Drop Down Lists'!$BB$2,$I$73*H34,IF(O34='Drop Down Lists'!$BB$3,$I$74*H34,IF(OR(N34='Drop Down Lists'!$BC$2,N34='Drop Down Lists'!$BC$4),$I$76*H34,IF(OR(N34='Drop Down Lists'!$BC$6,'Drop Down Lists'!$BC$8),$I$77*H34,IF(N34='Drop Down Lists'!$BC$5,$I$75*H34,$D$74*H34)))))))</f>
        <v>0</v>
      </c>
      <c r="F34" s="1105">
        <v>0</v>
      </c>
      <c r="G34" s="1099">
        <v>0</v>
      </c>
      <c r="H34" s="1099">
        <v>0</v>
      </c>
      <c r="I34" s="1099">
        <v>0</v>
      </c>
      <c r="J34" s="1100">
        <v>0</v>
      </c>
      <c r="K34" s="1100">
        <v>0</v>
      </c>
      <c r="L34" s="1100">
        <v>0</v>
      </c>
      <c r="M34" s="1100">
        <v>0</v>
      </c>
      <c r="N34" s="352" t="s">
        <v>401</v>
      </c>
      <c r="O34" s="352" t="s">
        <v>402</v>
      </c>
      <c r="P34" s="791">
        <f>IF(B34="Carbon Offsets",Q34/'Building Info &amp; Assumptions'!$B$119,H34*CO2_perEleckBTU*kBTUperKWH+I34*CO2_perNatGaskBTU*kBTUperTherm+J34*CO2_perSteamkBTU*kBTUperlbsSteam+K34*CO2_perUtil4kBTU*kBTUperUnit_Util4+L34*CO2_perUtil5kBTU*kBTUperUnit_Util5+M34*CO2_perUtil6kBTU*kBTUperUnit_Util6)</f>
        <v>0</v>
      </c>
      <c r="Q34" s="1101">
        <v>1500000</v>
      </c>
      <c r="R34" s="319">
        <f t="shared" si="1"/>
        <v>0</v>
      </c>
      <c r="S34" s="1101">
        <v>0</v>
      </c>
      <c r="T34" s="1102">
        <v>10</v>
      </c>
      <c r="U34" s="215">
        <f t="shared" si="24"/>
        <v>1500000</v>
      </c>
      <c r="V34" s="309">
        <f t="shared" si="25"/>
        <v>0</v>
      </c>
      <c r="W34" s="216" t="str">
        <f t="shared" si="2"/>
        <v>N/A</v>
      </c>
      <c r="X34" s="246"/>
      <c r="Y34" s="15"/>
      <c r="Z34" s="371" t="e">
        <f>IF(OR(AND(#REF!&gt;0,H34&lt;0),AND(H34&gt;0,#REF!=0)),A34,"")</f>
        <v>#REF!</v>
      </c>
      <c r="AA34" s="1103">
        <f t="shared" si="26"/>
        <v>1500000</v>
      </c>
      <c r="AB34" s="1104">
        <f t="shared" si="3"/>
        <v>0</v>
      </c>
      <c r="AC34" s="1104">
        <f t="shared" si="3"/>
        <v>0</v>
      </c>
      <c r="AD34" s="1104">
        <f t="shared" si="3"/>
        <v>0</v>
      </c>
      <c r="AE34" s="1104">
        <f t="shared" si="3"/>
        <v>0</v>
      </c>
      <c r="AF34" s="1104">
        <f t="shared" si="3"/>
        <v>0</v>
      </c>
      <c r="AG34" s="1104">
        <f t="shared" si="3"/>
        <v>0</v>
      </c>
      <c r="AH34" s="1104">
        <f t="shared" si="3"/>
        <v>0</v>
      </c>
      <c r="AI34" s="1104">
        <f t="shared" si="3"/>
        <v>0</v>
      </c>
      <c r="AJ34" s="1104">
        <f t="shared" si="3"/>
        <v>0</v>
      </c>
      <c r="AK34" s="1104">
        <f t="shared" si="3"/>
        <v>0</v>
      </c>
      <c r="AL34" s="1104">
        <f t="shared" si="4"/>
        <v>0</v>
      </c>
      <c r="AM34" s="1104">
        <f t="shared" si="4"/>
        <v>0</v>
      </c>
      <c r="AN34" s="1104">
        <f t="shared" si="4"/>
        <v>0</v>
      </c>
      <c r="AO34" s="1104">
        <f t="shared" si="4"/>
        <v>0</v>
      </c>
      <c r="AP34" s="1104">
        <f t="shared" si="4"/>
        <v>0</v>
      </c>
      <c r="AQ34" s="1104">
        <f t="shared" si="4"/>
        <v>0</v>
      </c>
      <c r="AR34" s="1104">
        <f t="shared" si="4"/>
        <v>0</v>
      </c>
      <c r="AS34" s="1104">
        <f t="shared" si="4"/>
        <v>0</v>
      </c>
      <c r="AT34" s="1104">
        <f t="shared" si="4"/>
        <v>0</v>
      </c>
      <c r="AU34" s="1104">
        <f t="shared" si="4"/>
        <v>0</v>
      </c>
      <c r="AV34" s="730">
        <f>IFERROR((esc_elect*H34*kBTUperKWH+esc_gas*#REF!*kBTUperTherm+esc_steam*I34*kBTUperlbsSteam+#REF!*esc_chw*kBTUperUnit_Util4+J34*esc_hw*kBTUperUnit_Util5+K34*esc_oil*kBTUperUnit_Util6)/(H34*kBTUperKWH+#REF!*kBTUperTherm+I34*kBTUperlbsSteam+#REF!*kBTUperUnit_Util4+J34*kBTUperUnit_Util5+K34*kBTUperUnit_Util6),0)</f>
        <v>0</v>
      </c>
      <c r="AW34" s="397">
        <f t="shared" si="5"/>
        <v>0</v>
      </c>
      <c r="AX34" s="397">
        <f t="shared" si="6"/>
        <v>0</v>
      </c>
      <c r="AY34" s="397">
        <f t="shared" si="7"/>
        <v>0</v>
      </c>
      <c r="AZ34" s="397">
        <f t="shared" si="8"/>
        <v>0</v>
      </c>
      <c r="BA34" s="397">
        <f t="shared" si="9"/>
        <v>0</v>
      </c>
      <c r="BB34" s="397">
        <f t="shared" si="10"/>
        <v>0</v>
      </c>
      <c r="BC34" s="397">
        <f t="shared" si="11"/>
        <v>0</v>
      </c>
      <c r="BD34" s="397">
        <f t="shared" si="27"/>
        <v>0</v>
      </c>
      <c r="BE34" s="398">
        <f>BD34/'Building Info &amp; Assumptions'!$B$372</f>
        <v>0</v>
      </c>
      <c r="BF34" s="380"/>
      <c r="BG34" s="399">
        <f t="shared" si="12"/>
        <v>0</v>
      </c>
      <c r="BH34" s="399">
        <f t="shared" si="13"/>
        <v>0</v>
      </c>
      <c r="BI34" s="399">
        <f t="shared" si="14"/>
        <v>0</v>
      </c>
      <c r="BJ34" s="399">
        <f t="shared" si="15"/>
        <v>0</v>
      </c>
      <c r="BK34" s="399">
        <f t="shared" si="16"/>
        <v>0</v>
      </c>
      <c r="BL34" s="399">
        <f t="shared" si="17"/>
        <v>0</v>
      </c>
      <c r="BM34" s="399">
        <f t="shared" si="18"/>
        <v>0</v>
      </c>
      <c r="BN34" s="375"/>
      <c r="BO34" s="399">
        <f>IF(OR(N34="Constant Demand",O34="Constant Annual"),D34,$D$77*H34+IF(O34='Drop Down Lists'!$BB$2,$I$73*H34,IF(O34='Drop Down Lists'!$BB$4,$I$74*H34,IF(OR(N34='Drop Down Lists'!$BC$2,N34='Drop Down Lists'!$BC$4),$I$76*H34,IF(OR(N34='Drop Down Lists'!$BC$6,'Drop Down Lists'!$BC$8),$I$77*H34,IF(N34='Drop Down Lists'!$BC$5,$I$75*H34,$D$74*H34))))))</f>
        <v>0</v>
      </c>
      <c r="BP34" s="399">
        <f t="shared" si="19"/>
        <v>0</v>
      </c>
      <c r="BQ34" s="375"/>
      <c r="BR34" s="586">
        <f t="shared" si="20"/>
        <v>0</v>
      </c>
      <c r="BS34" s="401">
        <f t="shared" si="21"/>
        <v>0</v>
      </c>
      <c r="BT34" s="375"/>
      <c r="BU34" s="722" t="e">
        <f>VLOOKUP('Narrative &amp; Measures'!$A34,Alternatives!$C$15:$I$17,7,FALSE)</f>
        <v>#N/A</v>
      </c>
      <c r="BV34" s="722">
        <f>VLOOKUP('Narrative &amp; Measures'!$A34,Alternatives!$C$38:$I$57,7,FALSE)</f>
        <v>5</v>
      </c>
      <c r="BW34" s="722" t="e">
        <f>VLOOKUP('Narrative &amp; Measures'!$A34,Alternatives!$C$63:$I$82,7,FALSE)</f>
        <v>#N/A</v>
      </c>
      <c r="BX34" s="722" t="e">
        <f>VLOOKUP('Narrative &amp; Measures'!$A34,Alternatives!$C$88:$I$107,7,FALSE)</f>
        <v>#N/A</v>
      </c>
      <c r="BY34" s="479"/>
      <c r="BZ34" s="723">
        <f t="shared" si="28"/>
        <v>15</v>
      </c>
      <c r="CA34" s="723" t="e">
        <f t="shared" si="29"/>
        <v>#N/A</v>
      </c>
      <c r="CB34" s="723" t="e">
        <f t="shared" si="30"/>
        <v>#N/A</v>
      </c>
      <c r="CC34" s="722" t="e">
        <f t="shared" si="31"/>
        <v>#N/A</v>
      </c>
      <c r="CD34" s="722">
        <f t="shared" si="32"/>
        <v>15</v>
      </c>
      <c r="CE34" s="722" t="e">
        <f t="shared" si="33"/>
        <v>#N/A</v>
      </c>
      <c r="CF34" s="722" t="e">
        <f t="shared" si="34"/>
        <v>#N/A</v>
      </c>
      <c r="CH34" s="726">
        <f>IF(AND(OR(B34="Deferred Maintenance",B34="Immediate Repairs: Life Safety and Critical"),_xlfn.IFNA(MATCH($A34,Alternatives!$C$15:$C$17,0),0)&gt;0,_xlfn.IFNA(VLOOKUP($A34,Alternatives!$C$15:$H$17,6,0)="Yes",0)),$P34,0)</f>
        <v>0</v>
      </c>
      <c r="CI34" s="726">
        <f>IF(AND(_xlfn.IFNA(MATCH($A34,Alternatives!$C$38:$C$57,0),0)&gt;0,_xlfn.IFNA(VLOOKUP($A34,Alternatives!$C$38:$H$57,6,0)="Yes",0)),$P34,0)</f>
        <v>0</v>
      </c>
      <c r="CJ34" s="726">
        <f>IF(AND(_xlfn.IFNA(MATCH($A34,Alternatives!$C$63:$C$82,0),0)&gt;0,_xlfn.IFNA(VLOOKUP($A34,Alternatives!$C$63:$H$82,6,0)="Yes",0)),$P34,0)</f>
        <v>0</v>
      </c>
      <c r="CK34" s="726">
        <f>IF(AND(_xlfn.IFNA(MATCH($A34,Alternatives!$C$88:$C$107,0),0)&gt;0,_xlfn.IFNA(VLOOKUP($A34,Alternatives!$C$88:$H$107,6,0)="Yes",0)),$P34,0)</f>
        <v>0</v>
      </c>
    </row>
    <row r="35" spans="1:89" s="104" customFormat="1" ht="42" customHeight="1" outlineLevel="1">
      <c r="A35" s="1106" t="s">
        <v>502</v>
      </c>
      <c r="B35" s="1097" t="s">
        <v>495</v>
      </c>
      <c r="C35" s="1098">
        <f t="shared" si="23"/>
        <v>65000</v>
      </c>
      <c r="D35" s="351">
        <f t="shared" si="0"/>
        <v>60000</v>
      </c>
      <c r="E35" s="595">
        <f>IF(B35='Drop Down Lists'!$AU$7,I35*Rate_NatGas+J35*Rate_Steam+K35*rate_util4+L35*Rate_Util5+M35*Rate_util6+H35*($I$75-$I$77),IF(OR(N35="Constant Demand",O35="Constant Annual"),D35,I35*Rate_NatGas+G35*Rate_EleckW+J35*Rate_Steam+K35*rate_util4+L35*Rate_Util5+M35*Rate_util6+IF(O35='Drop Down Lists'!$BB$2,$I$73*H35,IF(O35='Drop Down Lists'!$BB$3,$I$74*H35,IF(OR(N35='Drop Down Lists'!$BC$2,N35='Drop Down Lists'!$BC$4),$I$76*H35,IF(OR(N35='Drop Down Lists'!$BC$6,'Drop Down Lists'!$BC$8),$I$77*H35,IF(N35='Drop Down Lists'!$BC$5,$I$75*H35,$D$74*H35)))))))</f>
        <v>70000</v>
      </c>
      <c r="F35" s="1105">
        <v>-5000</v>
      </c>
      <c r="G35" s="1099">
        <v>0</v>
      </c>
      <c r="H35" s="1099">
        <v>200000</v>
      </c>
      <c r="I35" s="1099">
        <v>0</v>
      </c>
      <c r="J35" s="1100">
        <v>1000000</v>
      </c>
      <c r="K35" s="1100">
        <v>0</v>
      </c>
      <c r="L35" s="1100">
        <v>0</v>
      </c>
      <c r="M35" s="1100">
        <v>0</v>
      </c>
      <c r="N35" s="352" t="s">
        <v>401</v>
      </c>
      <c r="O35" s="352" t="s">
        <v>402</v>
      </c>
      <c r="P35" s="791">
        <f>IF(B35="Carbon Offsets",Q35/'Building Info &amp; Assumptions'!$B$119,H35*CO2_perEleckBTU*kBTUperKWH+I35*CO2_perNatGaskBTU*kBTUperTherm+J35*CO2_perSteamkBTU*kBTUperlbsSteam+K35*CO2_perUtil4kBTU*kBTUperUnit_Util4+L35*CO2_perUtil5kBTU*kBTUperUnit_Util5+M35*CO2_perUtil6kBTU*kBTUperUnit_Util6)</f>
        <v>111.43887600000001</v>
      </c>
      <c r="Q35" s="1101">
        <v>500000</v>
      </c>
      <c r="R35" s="319">
        <f t="shared" si="1"/>
        <v>0</v>
      </c>
      <c r="S35" s="1101">
        <v>0</v>
      </c>
      <c r="T35" s="1102">
        <v>10</v>
      </c>
      <c r="U35" s="215">
        <f t="shared" si="24"/>
        <v>500000</v>
      </c>
      <c r="V35" s="309">
        <f t="shared" si="25"/>
        <v>-550000</v>
      </c>
      <c r="W35" s="216">
        <f t="shared" si="2"/>
        <v>7.6923076923076925</v>
      </c>
      <c r="X35" s="246"/>
      <c r="Y35" s="15"/>
      <c r="Z35" s="371" t="e">
        <f>IF(OR(AND(#REF!&gt;0,H35&lt;0),AND(H35&gt;0,#REF!=0)),A35,"")</f>
        <v>#REF!</v>
      </c>
      <c r="AA35" s="1103">
        <f t="shared" si="26"/>
        <v>500000</v>
      </c>
      <c r="AB35" s="1104">
        <f t="shared" si="3"/>
        <v>55000</v>
      </c>
      <c r="AC35" s="1104">
        <f t="shared" si="3"/>
        <v>55000</v>
      </c>
      <c r="AD35" s="1104">
        <f t="shared" si="3"/>
        <v>55000</v>
      </c>
      <c r="AE35" s="1104">
        <f t="shared" si="3"/>
        <v>55000</v>
      </c>
      <c r="AF35" s="1104">
        <f t="shared" si="3"/>
        <v>55000</v>
      </c>
      <c r="AG35" s="1104">
        <f t="shared" si="3"/>
        <v>55000</v>
      </c>
      <c r="AH35" s="1104">
        <f t="shared" si="3"/>
        <v>55000</v>
      </c>
      <c r="AI35" s="1104">
        <f t="shared" si="3"/>
        <v>55000</v>
      </c>
      <c r="AJ35" s="1104">
        <f t="shared" si="3"/>
        <v>55000</v>
      </c>
      <c r="AK35" s="1104">
        <f t="shared" si="3"/>
        <v>55000</v>
      </c>
      <c r="AL35" s="1104">
        <f t="shared" si="4"/>
        <v>0</v>
      </c>
      <c r="AM35" s="1104">
        <f t="shared" si="4"/>
        <v>0</v>
      </c>
      <c r="AN35" s="1104">
        <f t="shared" si="4"/>
        <v>0</v>
      </c>
      <c r="AO35" s="1104">
        <f t="shared" si="4"/>
        <v>0</v>
      </c>
      <c r="AP35" s="1104">
        <f t="shared" si="4"/>
        <v>0</v>
      </c>
      <c r="AQ35" s="1104">
        <f t="shared" si="4"/>
        <v>0</v>
      </c>
      <c r="AR35" s="1104">
        <f t="shared" si="4"/>
        <v>0</v>
      </c>
      <c r="AS35" s="1104">
        <f t="shared" si="4"/>
        <v>0</v>
      </c>
      <c r="AT35" s="1104">
        <f t="shared" si="4"/>
        <v>0</v>
      </c>
      <c r="AU35" s="1104">
        <f t="shared" si="4"/>
        <v>0</v>
      </c>
      <c r="AV35" s="730">
        <f>IFERROR((esc_elect*H35*kBTUperKWH+esc_gas*#REF!*kBTUperTherm+esc_steam*I35*kBTUperlbsSteam+#REF!*esc_chw*kBTUperUnit_Util4+J35*esc_hw*kBTUperUnit_Util5+K35*esc_oil*kBTUperUnit_Util6)/(H35*kBTUperKWH+#REF!*kBTUperTherm+I35*kBTUperlbsSteam+#REF!*kBTUperUnit_Util4+J35*kBTUperUnit_Util5+K35*kBTUperUnit_Util6),0)</f>
        <v>0</v>
      </c>
      <c r="AW35" s="397">
        <f t="shared" si="5"/>
        <v>0.45493333333333336</v>
      </c>
      <c r="AX35" s="397">
        <f t="shared" si="6"/>
        <v>0.45493333333333336</v>
      </c>
      <c r="AY35" s="397">
        <f t="shared" si="7"/>
        <v>0</v>
      </c>
      <c r="AZ35" s="397">
        <f t="shared" si="8"/>
        <v>0.79600000000000004</v>
      </c>
      <c r="BA35" s="397">
        <f t="shared" si="9"/>
        <v>0</v>
      </c>
      <c r="BB35" s="397">
        <f t="shared" si="10"/>
        <v>0</v>
      </c>
      <c r="BC35" s="397">
        <f t="shared" si="11"/>
        <v>0</v>
      </c>
      <c r="BD35" s="397">
        <f t="shared" si="27"/>
        <v>1.7058666666666666</v>
      </c>
      <c r="BE35" s="398">
        <f>BD35/'Building Info &amp; Assumptions'!$B$372</f>
        <v>9.8460307130512903E-3</v>
      </c>
      <c r="BF35" s="380"/>
      <c r="BG35" s="399">
        <f t="shared" si="12"/>
        <v>20000</v>
      </c>
      <c r="BH35" s="399">
        <f t="shared" si="13"/>
        <v>0</v>
      </c>
      <c r="BI35" s="399">
        <f t="shared" si="14"/>
        <v>0</v>
      </c>
      <c r="BJ35" s="399">
        <f t="shared" si="15"/>
        <v>40000</v>
      </c>
      <c r="BK35" s="399">
        <f t="shared" si="16"/>
        <v>0</v>
      </c>
      <c r="BL35" s="399">
        <f t="shared" si="17"/>
        <v>0</v>
      </c>
      <c r="BM35" s="399">
        <f t="shared" si="18"/>
        <v>0</v>
      </c>
      <c r="BN35" s="375"/>
      <c r="BO35" s="399">
        <f>IF(OR(N35="Constant Demand",O35="Constant Annual"),D35,$D$77*H35+IF(O35='Drop Down Lists'!$BB$2,$I$73*H35,IF(O35='Drop Down Lists'!$BB$4,$I$74*H35,IF(OR(N35='Drop Down Lists'!$BC$2,N35='Drop Down Lists'!$BC$4),$I$76*H35,IF(OR(N35='Drop Down Lists'!$BC$6,'Drop Down Lists'!$BC$8),$I$77*H35,IF(N35='Drop Down Lists'!$BC$5,$I$75*H35,$D$74*H35))))))</f>
        <v>38000</v>
      </c>
      <c r="BP35" s="399">
        <f t="shared" si="19"/>
        <v>0</v>
      </c>
      <c r="BQ35" s="375"/>
      <c r="BR35" s="586">
        <f t="shared" si="20"/>
        <v>78000</v>
      </c>
      <c r="BS35" s="401">
        <f t="shared" si="21"/>
        <v>0</v>
      </c>
      <c r="BT35" s="375"/>
      <c r="BU35" s="722" t="e">
        <f>VLOOKUP('Narrative &amp; Measures'!$A35,Alternatives!$C$15:$I$17,7,FALSE)</f>
        <v>#N/A</v>
      </c>
      <c r="BV35" s="722">
        <f>VLOOKUP('Narrative &amp; Measures'!$A35,Alternatives!$C$38:$I$57,7,FALSE)</f>
        <v>1</v>
      </c>
      <c r="BW35" s="722">
        <f>VLOOKUP('Narrative &amp; Measures'!$A35,Alternatives!$C$63:$I$82,7,FALSE)</f>
        <v>1</v>
      </c>
      <c r="BX35" s="722" t="e">
        <f>VLOOKUP('Narrative &amp; Measures'!$A35,Alternatives!$C$88:$I$107,7,FALSE)</f>
        <v>#N/A</v>
      </c>
      <c r="BY35" s="479"/>
      <c r="BZ35" s="723">
        <f t="shared" si="28"/>
        <v>11</v>
      </c>
      <c r="CA35" s="723">
        <f t="shared" si="29"/>
        <v>11</v>
      </c>
      <c r="CB35" s="723" t="e">
        <f t="shared" si="30"/>
        <v>#N/A</v>
      </c>
      <c r="CC35" s="722" t="e">
        <f t="shared" si="31"/>
        <v>#N/A</v>
      </c>
      <c r="CD35" s="722">
        <f t="shared" si="32"/>
        <v>11</v>
      </c>
      <c r="CE35" s="722">
        <f t="shared" si="33"/>
        <v>11</v>
      </c>
      <c r="CF35" s="722" t="e">
        <f t="shared" si="34"/>
        <v>#N/A</v>
      </c>
      <c r="CH35" s="726">
        <f>IF(AND(OR(B35="Deferred Maintenance",B35="Immediate Repairs: Life Safety and Critical"),_xlfn.IFNA(MATCH($A35,Alternatives!$C$15:$C$17,0),0)&gt;0,_xlfn.IFNA(VLOOKUP($A35,Alternatives!$C$15:$H$17,6,0)="Yes",0)),$P35,0)</f>
        <v>0</v>
      </c>
      <c r="CI35" s="726">
        <f>IF(AND(_xlfn.IFNA(MATCH($A35,Alternatives!$C$38:$C$57,0),0)&gt;0,_xlfn.IFNA(VLOOKUP($A35,Alternatives!$C$38:$H$57,6,0)="Yes",0)),$P35,0)</f>
        <v>111.43887600000001</v>
      </c>
      <c r="CJ35" s="726">
        <f>IF(AND(_xlfn.IFNA(MATCH($A35,Alternatives!$C$63:$C$82,0),0)&gt;0,_xlfn.IFNA(VLOOKUP($A35,Alternatives!$C$63:$H$82,6,0)="Yes",0)),$P35,0)</f>
        <v>111.43887600000001</v>
      </c>
      <c r="CK35" s="726">
        <f>IF(AND(_xlfn.IFNA(MATCH($A35,Alternatives!$C$88:$C$107,0),0)&gt;0,_xlfn.IFNA(VLOOKUP($A35,Alternatives!$C$88:$H$107,6,0)="Yes",0)),$P35,0)</f>
        <v>0</v>
      </c>
    </row>
    <row r="36" spans="1:89" s="104" customFormat="1" ht="42" customHeight="1" outlineLevel="1">
      <c r="A36" s="1106" t="s">
        <v>503</v>
      </c>
      <c r="B36" s="1097" t="s">
        <v>495</v>
      </c>
      <c r="C36" s="1098">
        <f t="shared" si="23"/>
        <v>85000</v>
      </c>
      <c r="D36" s="351">
        <f t="shared" si="0"/>
        <v>95000</v>
      </c>
      <c r="E36" s="595">
        <f>IF(B36='Drop Down Lists'!$AU$7,I36*Rate_NatGas+J36*Rate_Steam+K36*rate_util4+L36*Rate_Util5+M36*Rate_util6+H36*($I$75-$I$77),IF(OR(N36="Constant Demand",O36="Constant Annual"),D36,I36*Rate_NatGas+G36*Rate_EleckW+J36*Rate_Steam+K36*rate_util4+L36*Rate_Util5+M36*Rate_util6+IF(O36='Drop Down Lists'!$BB$2,$I$73*H36,IF(O36='Drop Down Lists'!$BB$3,$I$74*H36,IF(OR(N36='Drop Down Lists'!$BC$2,N36='Drop Down Lists'!$BC$4),$I$76*H36,IF(OR(N36='Drop Down Lists'!$BC$6,'Drop Down Lists'!$BC$8),$I$77*H36,IF(N36='Drop Down Lists'!$BC$5,$I$75*H36,$D$74*H36)))))))</f>
        <v>45000</v>
      </c>
      <c r="F36" s="1105">
        <v>-10000</v>
      </c>
      <c r="G36" s="1099">
        <v>-500</v>
      </c>
      <c r="H36" s="1099">
        <f>-500*2000</f>
        <v>-1000000</v>
      </c>
      <c r="I36" s="1099">
        <v>0</v>
      </c>
      <c r="J36" s="1100">
        <v>5000000</v>
      </c>
      <c r="K36" s="1100">
        <v>0</v>
      </c>
      <c r="L36" s="1100">
        <v>0</v>
      </c>
      <c r="M36" s="1100">
        <v>0</v>
      </c>
      <c r="N36" s="352" t="s">
        <v>401</v>
      </c>
      <c r="O36" s="352" t="s">
        <v>402</v>
      </c>
      <c r="P36" s="791">
        <f>IF(B36="Carbon Offsets",Q36/'Building Info &amp; Assumptions'!$B$119,H36*CO2_perEleckBTU*kBTUperKWH+I36*CO2_perNatGaskBTU*kBTUperTherm+J36*CO2_perSteamkBTU*kBTUperlbsSteam+K36*CO2_perUtil4kBTU*kBTUperUnit_Util4+L36*CO2_perUtil5kBTU*kBTUperUnit_Util5+M36*CO2_perUtil6kBTU*kBTUperUnit_Util6)</f>
        <v>-20.730179999999962</v>
      </c>
      <c r="Q36" s="1101">
        <v>1500000</v>
      </c>
      <c r="R36" s="319">
        <f t="shared" si="1"/>
        <v>-425</v>
      </c>
      <c r="S36" s="1101">
        <v>0</v>
      </c>
      <c r="T36" s="1102">
        <v>15</v>
      </c>
      <c r="U36" s="215">
        <f t="shared" si="24"/>
        <v>1500000</v>
      </c>
      <c r="V36" s="309">
        <f t="shared" si="25"/>
        <v>-1020000</v>
      </c>
      <c r="W36" s="216">
        <f t="shared" si="2"/>
        <v>17.647058823529413</v>
      </c>
      <c r="X36" s="246"/>
      <c r="Y36" s="15"/>
      <c r="Z36" s="371" t="e">
        <f>IF(OR(AND(#REF!&gt;0,H36&lt;0),AND(H36&gt;0,#REF!=0)),A36,"")</f>
        <v>#REF!</v>
      </c>
      <c r="AA36" s="1103">
        <f t="shared" si="26"/>
        <v>1500000</v>
      </c>
      <c r="AB36" s="1104">
        <f t="shared" si="3"/>
        <v>85000</v>
      </c>
      <c r="AC36" s="1104">
        <f t="shared" si="3"/>
        <v>85000</v>
      </c>
      <c r="AD36" s="1104">
        <f t="shared" si="3"/>
        <v>85000</v>
      </c>
      <c r="AE36" s="1104">
        <f t="shared" si="3"/>
        <v>85000</v>
      </c>
      <c r="AF36" s="1104">
        <f t="shared" si="3"/>
        <v>85000</v>
      </c>
      <c r="AG36" s="1104">
        <f t="shared" si="3"/>
        <v>85000</v>
      </c>
      <c r="AH36" s="1104">
        <f t="shared" si="3"/>
        <v>85000</v>
      </c>
      <c r="AI36" s="1104">
        <f t="shared" si="3"/>
        <v>85000</v>
      </c>
      <c r="AJ36" s="1104">
        <f t="shared" si="3"/>
        <v>85000</v>
      </c>
      <c r="AK36" s="1104">
        <f t="shared" si="3"/>
        <v>85000</v>
      </c>
      <c r="AL36" s="1104">
        <f t="shared" si="4"/>
        <v>85000</v>
      </c>
      <c r="AM36" s="1104">
        <f t="shared" si="4"/>
        <v>85000</v>
      </c>
      <c r="AN36" s="1104">
        <f t="shared" si="4"/>
        <v>85000</v>
      </c>
      <c r="AO36" s="1104">
        <f t="shared" si="4"/>
        <v>85000</v>
      </c>
      <c r="AP36" s="1104">
        <f t="shared" si="4"/>
        <v>85000</v>
      </c>
      <c r="AQ36" s="1104">
        <f t="shared" si="4"/>
        <v>0</v>
      </c>
      <c r="AR36" s="1104">
        <f t="shared" si="4"/>
        <v>0</v>
      </c>
      <c r="AS36" s="1104">
        <f t="shared" si="4"/>
        <v>0</v>
      </c>
      <c r="AT36" s="1104">
        <f t="shared" si="4"/>
        <v>0</v>
      </c>
      <c r="AU36" s="1104">
        <f t="shared" si="4"/>
        <v>0</v>
      </c>
      <c r="AV36" s="730">
        <f>IFERROR((esc_elect*H36*kBTUperKWH+esc_gas*#REF!*kBTUperTherm+esc_steam*I36*kBTUperlbsSteam+#REF!*esc_chw*kBTUperUnit_Util4+J36*esc_hw*kBTUperUnit_Util5+K36*esc_oil*kBTUperUnit_Util6)/(H36*kBTUperKWH+#REF!*kBTUperTherm+I36*kBTUperlbsSteam+#REF!*kBTUperUnit_Util4+J36*kBTUperUnit_Util5+K36*kBTUperUnit_Util6),0)</f>
        <v>0</v>
      </c>
      <c r="AW36" s="397">
        <f t="shared" si="5"/>
        <v>-2.2746666666666666</v>
      </c>
      <c r="AX36" s="397">
        <f t="shared" si="6"/>
        <v>-2.2746666666666666</v>
      </c>
      <c r="AY36" s="397">
        <f t="shared" si="7"/>
        <v>0</v>
      </c>
      <c r="AZ36" s="397">
        <f t="shared" si="8"/>
        <v>3.98</v>
      </c>
      <c r="BA36" s="397">
        <f t="shared" si="9"/>
        <v>0</v>
      </c>
      <c r="BB36" s="397">
        <f t="shared" si="10"/>
        <v>0</v>
      </c>
      <c r="BC36" s="397">
        <f t="shared" si="11"/>
        <v>0</v>
      </c>
      <c r="BD36" s="397">
        <f t="shared" si="27"/>
        <v>-0.56933333333333325</v>
      </c>
      <c r="BE36" s="398">
        <f>BD36/'Building Info &amp; Assumptions'!$B$372</f>
        <v>-3.2861146744355952E-3</v>
      </c>
      <c r="BF36" s="380"/>
      <c r="BG36" s="399">
        <f t="shared" si="12"/>
        <v>-100000</v>
      </c>
      <c r="BH36" s="399">
        <f t="shared" si="13"/>
        <v>-5000</v>
      </c>
      <c r="BI36" s="399">
        <f t="shared" si="14"/>
        <v>0</v>
      </c>
      <c r="BJ36" s="399">
        <f t="shared" si="15"/>
        <v>200000</v>
      </c>
      <c r="BK36" s="399">
        <f t="shared" si="16"/>
        <v>0</v>
      </c>
      <c r="BL36" s="399">
        <f t="shared" si="17"/>
        <v>0</v>
      </c>
      <c r="BM36" s="399">
        <f t="shared" si="18"/>
        <v>0</v>
      </c>
      <c r="BN36" s="375"/>
      <c r="BO36" s="399">
        <f>IF(OR(N36="Constant Demand",O36="Constant Annual"),D36,$D$77*H36+IF(O36='Drop Down Lists'!$BB$2,$I$73*H36,IF(O36='Drop Down Lists'!$BB$4,$I$74*H36,IF(OR(N36='Drop Down Lists'!$BC$2,N36='Drop Down Lists'!$BC$4),$I$76*H36,IF(OR(N36='Drop Down Lists'!$BC$6,'Drop Down Lists'!$BC$8),$I$77*H36,IF(N36='Drop Down Lists'!$BC$5,$I$75*H36,$D$74*H36))))))</f>
        <v>-190000</v>
      </c>
      <c r="BP36" s="399">
        <f t="shared" si="19"/>
        <v>-5000</v>
      </c>
      <c r="BQ36" s="375"/>
      <c r="BR36" s="586">
        <f t="shared" si="20"/>
        <v>100000</v>
      </c>
      <c r="BS36" s="401">
        <f t="shared" si="21"/>
        <v>-5000</v>
      </c>
      <c r="BT36" s="375"/>
      <c r="BU36" s="722" t="e">
        <f>VLOOKUP('Narrative &amp; Measures'!$A36,Alternatives!$C$15:$I$17,7,FALSE)</f>
        <v>#N/A</v>
      </c>
      <c r="BV36" s="722">
        <f>VLOOKUP('Narrative &amp; Measures'!$A36,Alternatives!$C$38:$I$57,7,FALSE)</f>
        <v>2</v>
      </c>
      <c r="BW36" s="722">
        <f>VLOOKUP('Narrative &amp; Measures'!$A36,Alternatives!$C$63:$I$82,7,FALSE)</f>
        <v>2</v>
      </c>
      <c r="BX36" s="722" t="e">
        <f>VLOOKUP('Narrative &amp; Measures'!$A36,Alternatives!$C$88:$I$107,7,FALSE)</f>
        <v>#N/A</v>
      </c>
      <c r="BY36" s="479"/>
      <c r="BZ36" s="723">
        <f t="shared" si="28"/>
        <v>17</v>
      </c>
      <c r="CA36" s="723">
        <f t="shared" si="29"/>
        <v>17</v>
      </c>
      <c r="CB36" s="723" t="e">
        <f t="shared" si="30"/>
        <v>#N/A</v>
      </c>
      <c r="CC36" s="722" t="e">
        <f t="shared" si="31"/>
        <v>#N/A</v>
      </c>
      <c r="CD36" s="722">
        <f t="shared" si="32"/>
        <v>17</v>
      </c>
      <c r="CE36" s="722">
        <f t="shared" si="33"/>
        <v>17</v>
      </c>
      <c r="CF36" s="722" t="e">
        <f t="shared" si="34"/>
        <v>#N/A</v>
      </c>
      <c r="CH36" s="726">
        <f>IF(AND(OR(B36="Deferred Maintenance",B36="Immediate Repairs: Life Safety and Critical"),_xlfn.IFNA(MATCH($A36,Alternatives!$C$15:$C$17,0),0)&gt;0,_xlfn.IFNA(VLOOKUP($A36,Alternatives!$C$15:$H$17,6,0)="Yes",0)),$P36,0)</f>
        <v>0</v>
      </c>
      <c r="CI36" s="726">
        <f>IF(AND(_xlfn.IFNA(MATCH($A36,Alternatives!$C$38:$C$57,0),0)&gt;0,_xlfn.IFNA(VLOOKUP($A36,Alternatives!$C$38:$H$57,6,0)="Yes",0)),$P36,0)</f>
        <v>-20.730179999999962</v>
      </c>
      <c r="CJ36" s="726">
        <f>IF(AND(_xlfn.IFNA(MATCH($A36,Alternatives!$C$63:$C$82,0),0)&gt;0,_xlfn.IFNA(VLOOKUP($A36,Alternatives!$C$63:$H$82,6,0)="Yes",0)),$P36,0)</f>
        <v>-20.730179999999962</v>
      </c>
      <c r="CK36" s="726">
        <f>IF(AND(_xlfn.IFNA(MATCH($A36,Alternatives!$C$88:$C$107,0),0)&gt;0,_xlfn.IFNA(VLOOKUP($A36,Alternatives!$C$88:$H$107,6,0)="Yes",0)),$P36,0)</f>
        <v>0</v>
      </c>
    </row>
    <row r="37" spans="1:89" s="104" customFormat="1" ht="42" customHeight="1" outlineLevel="1">
      <c r="A37" s="217" t="s">
        <v>504</v>
      </c>
      <c r="B37" s="1097" t="s">
        <v>495</v>
      </c>
      <c r="C37" s="1098">
        <f t="shared" si="23"/>
        <v>-120000</v>
      </c>
      <c r="D37" s="351">
        <f t="shared" si="0"/>
        <v>-120000</v>
      </c>
      <c r="E37" s="595">
        <f>IF(B37='Drop Down Lists'!$AU$7,I37*Rate_NatGas+J37*Rate_Steam+K37*rate_util4+L37*Rate_Util5+M37*Rate_util6+H37*($I$75-$I$77),IF(OR(N37="Constant Demand",O37="Constant Annual"),D37,I37*Rate_NatGas+G37*Rate_EleckW+J37*Rate_Steam+K37*rate_util4+L37*Rate_Util5+M37*Rate_util6+IF(O37='Drop Down Lists'!$BB$2,$I$73*H37,IF(O37='Drop Down Lists'!$BB$3,$I$74*H37,IF(OR(N37='Drop Down Lists'!$BC$2,N37='Drop Down Lists'!$BC$4),$I$76*H37,IF(OR(N37='Drop Down Lists'!$BC$6,'Drop Down Lists'!$BC$8),$I$77*H37,IF(N37='Drop Down Lists'!$BC$5,$I$75*H37,$D$74*H37)))))))</f>
        <v>-270000</v>
      </c>
      <c r="F37" s="1105">
        <v>0</v>
      </c>
      <c r="G37" s="1099">
        <v>-2000</v>
      </c>
      <c r="H37" s="1099">
        <v>-3000000</v>
      </c>
      <c r="I37" s="1099">
        <v>0</v>
      </c>
      <c r="J37" s="1100">
        <v>5000000</v>
      </c>
      <c r="K37" s="1100">
        <v>0</v>
      </c>
      <c r="L37" s="1100">
        <v>0</v>
      </c>
      <c r="M37" s="1100">
        <v>0</v>
      </c>
      <c r="N37" s="352" t="s">
        <v>401</v>
      </c>
      <c r="O37" s="352" t="s">
        <v>402</v>
      </c>
      <c r="P37" s="791">
        <f>IF(B37="Carbon Offsets",Q37/'Building Info &amp; Assumptions'!$B$119,H37*CO2_perEleckBTU*kBTUperKWH+I37*CO2_perNatGaskBTU*kBTUperTherm+J37*CO2_perSteamkBTU*kBTUperlbsSteam+K37*CO2_perUtil4kBTU*kBTUperUnit_Util4+L37*CO2_perUtil5kBTU*kBTUperUnit_Util5+M37*CO2_perUtil6kBTU*kBTUperUnit_Util6)</f>
        <v>-598.65473999999995</v>
      </c>
      <c r="Q37" s="1101">
        <v>500000</v>
      </c>
      <c r="R37" s="319">
        <f t="shared" si="1"/>
        <v>-1700</v>
      </c>
      <c r="S37" s="1101">
        <v>0</v>
      </c>
      <c r="T37" s="1102">
        <v>15</v>
      </c>
      <c r="U37" s="215">
        <f t="shared" si="24"/>
        <v>500000</v>
      </c>
      <c r="V37" s="309">
        <f t="shared" si="25"/>
        <v>1440000</v>
      </c>
      <c r="W37" s="216">
        <f t="shared" si="2"/>
        <v>-4.166666666666667</v>
      </c>
      <c r="X37" s="246"/>
      <c r="Y37" s="15"/>
      <c r="Z37" s="371" t="e">
        <f>IF(OR(AND(#REF!&gt;0,H37&lt;0),AND(H37&gt;0,#REF!=0)),A37,"")</f>
        <v>#REF!</v>
      </c>
      <c r="AA37" s="1103">
        <f t="shared" si="26"/>
        <v>500000</v>
      </c>
      <c r="AB37" s="1104">
        <f t="shared" si="3"/>
        <v>-120000</v>
      </c>
      <c r="AC37" s="1104">
        <f t="shared" si="3"/>
        <v>-120000</v>
      </c>
      <c r="AD37" s="1104">
        <f t="shared" si="3"/>
        <v>-120000</v>
      </c>
      <c r="AE37" s="1104">
        <f t="shared" si="3"/>
        <v>-120000</v>
      </c>
      <c r="AF37" s="1104">
        <f t="shared" si="3"/>
        <v>-120000</v>
      </c>
      <c r="AG37" s="1104">
        <f t="shared" si="3"/>
        <v>-120000</v>
      </c>
      <c r="AH37" s="1104">
        <f t="shared" si="3"/>
        <v>-120000</v>
      </c>
      <c r="AI37" s="1104">
        <f t="shared" si="3"/>
        <v>-120000</v>
      </c>
      <c r="AJ37" s="1104">
        <f t="shared" si="3"/>
        <v>-120000</v>
      </c>
      <c r="AK37" s="1104">
        <f t="shared" si="3"/>
        <v>-120000</v>
      </c>
      <c r="AL37" s="1104">
        <f t="shared" si="4"/>
        <v>-120000</v>
      </c>
      <c r="AM37" s="1104">
        <f t="shared" si="4"/>
        <v>-120000</v>
      </c>
      <c r="AN37" s="1104">
        <f t="shared" si="4"/>
        <v>-120000</v>
      </c>
      <c r="AO37" s="1104">
        <f t="shared" si="4"/>
        <v>-120000</v>
      </c>
      <c r="AP37" s="1104">
        <f t="shared" si="4"/>
        <v>-120000</v>
      </c>
      <c r="AQ37" s="1104">
        <f t="shared" si="4"/>
        <v>0</v>
      </c>
      <c r="AR37" s="1104">
        <f t="shared" si="4"/>
        <v>0</v>
      </c>
      <c r="AS37" s="1104">
        <f t="shared" si="4"/>
        <v>0</v>
      </c>
      <c r="AT37" s="1104">
        <f t="shared" si="4"/>
        <v>0</v>
      </c>
      <c r="AU37" s="1104">
        <f t="shared" si="4"/>
        <v>0</v>
      </c>
      <c r="AV37" s="730">
        <f>IFERROR((esc_elect*H37*kBTUperKWH+esc_gas*#REF!*kBTUperTherm+esc_steam*I37*kBTUperlbsSteam+#REF!*esc_chw*kBTUperUnit_Util4+J37*esc_hw*kBTUperUnit_Util5+K37*esc_oil*kBTUperUnit_Util6)/(H37*kBTUperKWH+#REF!*kBTUperTherm+I37*kBTUperlbsSteam+#REF!*kBTUperUnit_Util4+J37*kBTUperUnit_Util5+K37*kBTUperUnit_Util6),0)</f>
        <v>0</v>
      </c>
      <c r="AW37" s="397">
        <f t="shared" si="5"/>
        <v>-6.8239999999999998</v>
      </c>
      <c r="AX37" s="397">
        <f t="shared" si="6"/>
        <v>-6.8239999999999998</v>
      </c>
      <c r="AY37" s="397">
        <f t="shared" si="7"/>
        <v>0</v>
      </c>
      <c r="AZ37" s="397">
        <f t="shared" si="8"/>
        <v>3.98</v>
      </c>
      <c r="BA37" s="397">
        <f t="shared" si="9"/>
        <v>0</v>
      </c>
      <c r="BB37" s="397">
        <f t="shared" si="10"/>
        <v>0</v>
      </c>
      <c r="BC37" s="397">
        <f t="shared" si="11"/>
        <v>0</v>
      </c>
      <c r="BD37" s="397">
        <f t="shared" si="27"/>
        <v>-9.6679999999999993</v>
      </c>
      <c r="BE37" s="398">
        <f>BD37/'Building Info &amp; Assumptions'!$B$372</f>
        <v>-5.5802382914127639E-2</v>
      </c>
      <c r="BF37" s="380"/>
      <c r="BG37" s="399">
        <f t="shared" si="12"/>
        <v>-300000</v>
      </c>
      <c r="BH37" s="399">
        <f t="shared" si="13"/>
        <v>-20000</v>
      </c>
      <c r="BI37" s="399">
        <f t="shared" si="14"/>
        <v>0</v>
      </c>
      <c r="BJ37" s="399">
        <f t="shared" si="15"/>
        <v>200000</v>
      </c>
      <c r="BK37" s="399">
        <f t="shared" si="16"/>
        <v>0</v>
      </c>
      <c r="BL37" s="399">
        <f t="shared" si="17"/>
        <v>0</v>
      </c>
      <c r="BM37" s="399">
        <f t="shared" si="18"/>
        <v>0</v>
      </c>
      <c r="BN37" s="375"/>
      <c r="BO37" s="399">
        <f>IF(OR(N37="Constant Demand",O37="Constant Annual"),D37,$D$77*H37+IF(O37='Drop Down Lists'!$BB$2,$I$73*H37,IF(O37='Drop Down Lists'!$BB$4,$I$74*H37,IF(OR(N37='Drop Down Lists'!$BC$2,N37='Drop Down Lists'!$BC$4),$I$76*H37,IF(OR(N37='Drop Down Lists'!$BC$6,'Drop Down Lists'!$BC$8),$I$77*H37,IF(N37='Drop Down Lists'!$BC$5,$I$75*H37,$D$74*H37))))))</f>
        <v>-570000</v>
      </c>
      <c r="BP37" s="399">
        <f t="shared" si="19"/>
        <v>-20000</v>
      </c>
      <c r="BQ37" s="375"/>
      <c r="BR37" s="586">
        <f t="shared" si="20"/>
        <v>-100000</v>
      </c>
      <c r="BS37" s="401">
        <f t="shared" si="21"/>
        <v>-20000</v>
      </c>
      <c r="BT37" s="375"/>
      <c r="BU37" s="722" t="e">
        <f>VLOOKUP('Narrative &amp; Measures'!$A37,Alternatives!$C$15:$I$17,7,FALSE)</f>
        <v>#N/A</v>
      </c>
      <c r="BV37" s="722" t="e">
        <f>VLOOKUP('Narrative &amp; Measures'!$A37,Alternatives!$C$38:$I$57,7,FALSE)</f>
        <v>#N/A</v>
      </c>
      <c r="BW37" s="722" t="e">
        <f>VLOOKUP('Narrative &amp; Measures'!$A37,Alternatives!$C$63:$I$82,7,FALSE)</f>
        <v>#N/A</v>
      </c>
      <c r="BX37" s="722">
        <f>VLOOKUP('Narrative &amp; Measures'!$A37,Alternatives!$C$88:$I$107,7,FALSE)</f>
        <v>2</v>
      </c>
      <c r="BY37" s="479"/>
      <c r="BZ37" s="723" t="e">
        <f t="shared" si="28"/>
        <v>#N/A</v>
      </c>
      <c r="CA37" s="723" t="e">
        <f t="shared" si="29"/>
        <v>#N/A</v>
      </c>
      <c r="CB37" s="723">
        <f t="shared" si="30"/>
        <v>17</v>
      </c>
      <c r="CC37" s="722" t="e">
        <f t="shared" si="31"/>
        <v>#N/A</v>
      </c>
      <c r="CD37" s="722" t="e">
        <f t="shared" si="32"/>
        <v>#N/A</v>
      </c>
      <c r="CE37" s="722" t="e">
        <f t="shared" si="33"/>
        <v>#N/A</v>
      </c>
      <c r="CF37" s="722">
        <f t="shared" si="34"/>
        <v>17</v>
      </c>
      <c r="CH37" s="726">
        <f>IF(AND(OR(B37="Deferred Maintenance",B37="Immediate Repairs: Life Safety and Critical"),_xlfn.IFNA(MATCH($A37,Alternatives!$C$15:$C$17,0),0)&gt;0,_xlfn.IFNA(VLOOKUP($A37,Alternatives!$C$15:$H$17,6,0)="Yes",0)),$P37,0)</f>
        <v>0</v>
      </c>
      <c r="CI37" s="726">
        <f>IF(AND(_xlfn.IFNA(MATCH($A37,Alternatives!$C$38:$C$57,0),0)&gt;0,_xlfn.IFNA(VLOOKUP($A37,Alternatives!$C$38:$H$57,6,0)="Yes",0)),$P37,0)</f>
        <v>0</v>
      </c>
      <c r="CJ37" s="726">
        <f>IF(AND(_xlfn.IFNA(MATCH($A37,Alternatives!$C$63:$C$82,0),0)&gt;0,_xlfn.IFNA(VLOOKUP($A37,Alternatives!$C$63:$H$82,6,0)="Yes",0)),$P37,0)</f>
        <v>0</v>
      </c>
      <c r="CK37" s="726">
        <f>IF(AND(_xlfn.IFNA(MATCH($A37,Alternatives!$C$88:$C$107,0),0)&gt;0,_xlfn.IFNA(VLOOKUP($A37,Alternatives!$C$88:$H$107,6,0)="Yes",0)),$P37,0)</f>
        <v>0</v>
      </c>
    </row>
    <row r="38" spans="1:89" s="104" customFormat="1" ht="42" customHeight="1" outlineLevel="1">
      <c r="A38" s="217" t="s">
        <v>505</v>
      </c>
      <c r="B38" s="1097" t="s">
        <v>495</v>
      </c>
      <c r="C38" s="1098">
        <f t="shared" si="23"/>
        <v>25000</v>
      </c>
      <c r="D38" s="351">
        <f t="shared" si="0"/>
        <v>20000</v>
      </c>
      <c r="E38" s="595">
        <f>IF(B38='Drop Down Lists'!$AU$7,I38*Rate_NatGas+J38*Rate_Steam+K38*rate_util4+L38*Rate_Util5+M38*Rate_util6+H38*($I$75-$I$77),IF(OR(N38="Constant Demand",O38="Constant Annual"),D38,I38*Rate_NatGas+G38*Rate_EleckW+J38*Rate_Steam+K38*rate_util4+L38*Rate_Util5+M38*Rate_util6+IF(O38='Drop Down Lists'!$BB$2,$I$73*H38,IF(O38='Drop Down Lists'!$BB$3,$I$74*H38,IF(OR(N38='Drop Down Lists'!$BC$2,N38='Drop Down Lists'!$BC$4),$I$76*H38,IF(OR(N38='Drop Down Lists'!$BC$6,'Drop Down Lists'!$BC$8),$I$77*H38,IF(N38='Drop Down Lists'!$BC$5,$I$75*H38,$D$74*H38)))))))</f>
        <v>30000</v>
      </c>
      <c r="F38" s="1105">
        <v>-5000</v>
      </c>
      <c r="G38" s="1099">
        <v>0</v>
      </c>
      <c r="H38" s="1099">
        <v>200000</v>
      </c>
      <c r="I38" s="1099">
        <v>0</v>
      </c>
      <c r="J38" s="1100">
        <v>0</v>
      </c>
      <c r="K38" s="1100">
        <v>0</v>
      </c>
      <c r="L38" s="1100">
        <v>0</v>
      </c>
      <c r="M38" s="1100">
        <v>0</v>
      </c>
      <c r="N38" s="352" t="s">
        <v>401</v>
      </c>
      <c r="O38" s="352" t="s">
        <v>402</v>
      </c>
      <c r="P38" s="791">
        <f>IF(B38="Carbon Offsets",Q38/'Building Info &amp; Assumptions'!$B$119,H38*CO2_perEleckBTU*kBTUperKWH+I38*CO2_perNatGaskBTU*kBTUperTherm+J38*CO2_perSteamkBTU*kBTUperlbsSteam+K38*CO2_perUtil4kBTU*kBTUperUnit_Util4+L38*CO2_perUtil5kBTU*kBTUperUnit_Util5+M38*CO2_perUtil6kBTU*kBTUperUnit_Util6)</f>
        <v>57.792456000000008</v>
      </c>
      <c r="Q38" s="1101">
        <v>200000</v>
      </c>
      <c r="R38" s="319">
        <f t="shared" si="1"/>
        <v>0</v>
      </c>
      <c r="S38" s="1101">
        <v>0</v>
      </c>
      <c r="T38" s="1102">
        <v>10</v>
      </c>
      <c r="U38" s="215">
        <f t="shared" si="24"/>
        <v>200000</v>
      </c>
      <c r="V38" s="309">
        <f t="shared" si="25"/>
        <v>-150000</v>
      </c>
      <c r="W38" s="216">
        <f t="shared" si="2"/>
        <v>8</v>
      </c>
      <c r="X38" s="246"/>
      <c r="Y38" s="15"/>
      <c r="Z38" s="371" t="e">
        <f>IF(OR(AND(#REF!&gt;0,H38&lt;0),AND(H38&gt;0,#REF!=0)),A38,"")</f>
        <v>#REF!</v>
      </c>
      <c r="AA38" s="1103">
        <f t="shared" si="26"/>
        <v>200000</v>
      </c>
      <c r="AB38" s="1104">
        <f t="shared" ref="AB38:AK47" si="35">IF(AB$27&gt;$T38,0,$D38*(1+$AV38)+$F38)</f>
        <v>15000</v>
      </c>
      <c r="AC38" s="1104">
        <f t="shared" si="35"/>
        <v>15000</v>
      </c>
      <c r="AD38" s="1104">
        <f t="shared" si="35"/>
        <v>15000</v>
      </c>
      <c r="AE38" s="1104">
        <f t="shared" si="35"/>
        <v>15000</v>
      </c>
      <c r="AF38" s="1104">
        <f t="shared" si="35"/>
        <v>15000</v>
      </c>
      <c r="AG38" s="1104">
        <f t="shared" si="35"/>
        <v>15000</v>
      </c>
      <c r="AH38" s="1104">
        <f t="shared" si="35"/>
        <v>15000</v>
      </c>
      <c r="AI38" s="1104">
        <f t="shared" si="35"/>
        <v>15000</v>
      </c>
      <c r="AJ38" s="1104">
        <f t="shared" si="35"/>
        <v>15000</v>
      </c>
      <c r="AK38" s="1104">
        <f t="shared" si="35"/>
        <v>15000</v>
      </c>
      <c r="AL38" s="1104">
        <f t="shared" ref="AL38:AU47" si="36">IF(AL$27&gt;$T38,0,$D38*(1+$AV38)+$F38)</f>
        <v>0</v>
      </c>
      <c r="AM38" s="1104">
        <f t="shared" si="36"/>
        <v>0</v>
      </c>
      <c r="AN38" s="1104">
        <f t="shared" si="36"/>
        <v>0</v>
      </c>
      <c r="AO38" s="1104">
        <f t="shared" si="36"/>
        <v>0</v>
      </c>
      <c r="AP38" s="1104">
        <f t="shared" si="36"/>
        <v>0</v>
      </c>
      <c r="AQ38" s="1104">
        <f t="shared" si="36"/>
        <v>0</v>
      </c>
      <c r="AR38" s="1104">
        <f t="shared" si="36"/>
        <v>0</v>
      </c>
      <c r="AS38" s="1104">
        <f t="shared" si="36"/>
        <v>0</v>
      </c>
      <c r="AT38" s="1104">
        <f t="shared" si="36"/>
        <v>0</v>
      </c>
      <c r="AU38" s="1104">
        <f t="shared" si="36"/>
        <v>0</v>
      </c>
      <c r="AV38" s="730">
        <f>IFERROR((esc_elect*H38*kBTUperKWH+esc_gas*#REF!*kBTUperTherm+esc_steam*I38*kBTUperlbsSteam+#REF!*esc_chw*kBTUperUnit_Util4+J38*esc_hw*kBTUperUnit_Util5+K38*esc_oil*kBTUperUnit_Util6)/(H38*kBTUperKWH+#REF!*kBTUperTherm+I38*kBTUperlbsSteam+#REF!*kBTUperUnit_Util4+J38*kBTUperUnit_Util5+K38*kBTUperUnit_Util6),0)</f>
        <v>0</v>
      </c>
      <c r="AW38" s="397">
        <f t="shared" si="5"/>
        <v>0.45493333333333336</v>
      </c>
      <c r="AX38" s="397">
        <f t="shared" si="6"/>
        <v>0.45493333333333336</v>
      </c>
      <c r="AY38" s="397">
        <f t="shared" si="7"/>
        <v>0</v>
      </c>
      <c r="AZ38" s="397">
        <f t="shared" si="8"/>
        <v>0</v>
      </c>
      <c r="BA38" s="397">
        <f t="shared" si="9"/>
        <v>0</v>
      </c>
      <c r="BB38" s="397">
        <f t="shared" si="10"/>
        <v>0</v>
      </c>
      <c r="BC38" s="397">
        <f t="shared" si="11"/>
        <v>0</v>
      </c>
      <c r="BD38" s="397">
        <f t="shared" si="27"/>
        <v>0.90986666666666671</v>
      </c>
      <c r="BE38" s="398">
        <f>BD38/'Building Info &amp; Assumptions'!$B$372</f>
        <v>5.2516268239692051E-3</v>
      </c>
      <c r="BF38" s="380"/>
      <c r="BG38" s="399">
        <f t="shared" si="12"/>
        <v>20000</v>
      </c>
      <c r="BH38" s="399">
        <f t="shared" si="13"/>
        <v>0</v>
      </c>
      <c r="BI38" s="399">
        <f t="shared" si="14"/>
        <v>0</v>
      </c>
      <c r="BJ38" s="399">
        <f t="shared" si="15"/>
        <v>0</v>
      </c>
      <c r="BK38" s="399">
        <f t="shared" si="16"/>
        <v>0</v>
      </c>
      <c r="BL38" s="399">
        <f t="shared" si="17"/>
        <v>0</v>
      </c>
      <c r="BM38" s="399">
        <f t="shared" si="18"/>
        <v>0</v>
      </c>
      <c r="BN38" s="375"/>
      <c r="BO38" s="399">
        <f>IF(OR(N38="Constant Demand",O38="Constant Annual"),D38,$D$77*H38+IF(O38='Drop Down Lists'!$BB$2,$I$73*H38,IF(O38='Drop Down Lists'!$BB$4,$I$74*H38,IF(OR(N38='Drop Down Lists'!$BC$2,N38='Drop Down Lists'!$BC$4),$I$76*H38,IF(OR(N38='Drop Down Lists'!$BC$6,'Drop Down Lists'!$BC$8),$I$77*H38,IF(N38='Drop Down Lists'!$BC$5,$I$75*H38,$D$74*H38))))))</f>
        <v>38000</v>
      </c>
      <c r="BP38" s="399">
        <f t="shared" si="19"/>
        <v>0</v>
      </c>
      <c r="BQ38" s="375"/>
      <c r="BR38" s="586">
        <f t="shared" si="20"/>
        <v>38000</v>
      </c>
      <c r="BS38" s="401">
        <f t="shared" si="21"/>
        <v>0</v>
      </c>
      <c r="BT38" s="375"/>
      <c r="BU38" s="722" t="e">
        <f>VLOOKUP('Narrative &amp; Measures'!$A38,Alternatives!$C$15:$I$17,7,FALSE)</f>
        <v>#N/A</v>
      </c>
      <c r="BV38" s="722">
        <f>VLOOKUP('Narrative &amp; Measures'!$A38,Alternatives!$C$38:$I$57,7,FALSE)</f>
        <v>1</v>
      </c>
      <c r="BW38" s="722">
        <f>VLOOKUP('Narrative &amp; Measures'!$A38,Alternatives!$C$63:$I$82,7,FALSE)</f>
        <v>2</v>
      </c>
      <c r="BX38" s="722" t="e">
        <f>VLOOKUP('Narrative &amp; Measures'!$A38,Alternatives!$C$88:$I$107,7,FALSE)</f>
        <v>#N/A</v>
      </c>
      <c r="BY38" s="479"/>
      <c r="BZ38" s="723">
        <f t="shared" si="28"/>
        <v>11</v>
      </c>
      <c r="CA38" s="723">
        <f t="shared" si="29"/>
        <v>12</v>
      </c>
      <c r="CB38" s="723" t="e">
        <f t="shared" si="30"/>
        <v>#N/A</v>
      </c>
      <c r="CC38" s="722" t="e">
        <f t="shared" si="31"/>
        <v>#N/A</v>
      </c>
      <c r="CD38" s="722">
        <f t="shared" si="32"/>
        <v>11</v>
      </c>
      <c r="CE38" s="722">
        <f t="shared" si="33"/>
        <v>12</v>
      </c>
      <c r="CF38" s="722" t="e">
        <f t="shared" si="34"/>
        <v>#N/A</v>
      </c>
      <c r="CH38" s="726">
        <f>IF(AND(OR(B38="Deferred Maintenance",B38="Immediate Repairs: Life Safety and Critical"),_xlfn.IFNA(MATCH($A38,Alternatives!$C$15:$C$17,0),0)&gt;0,_xlfn.IFNA(VLOOKUP($A38,Alternatives!$C$15:$H$17,6,0)="Yes",0)),$P38,0)</f>
        <v>0</v>
      </c>
      <c r="CI38" s="726">
        <f>IF(AND(_xlfn.IFNA(MATCH($A38,Alternatives!$C$38:$C$57,0),0)&gt;0,_xlfn.IFNA(VLOOKUP($A38,Alternatives!$C$38:$H$57,6,0)="Yes",0)),$P38,0)</f>
        <v>0</v>
      </c>
      <c r="CJ38" s="726">
        <f>IF(AND(_xlfn.IFNA(MATCH($A38,Alternatives!$C$63:$C$82,0),0)&gt;0,_xlfn.IFNA(VLOOKUP($A38,Alternatives!$C$63:$H$82,6,0)="Yes",0)),$P38,0)</f>
        <v>0</v>
      </c>
      <c r="CK38" s="726">
        <f>IF(AND(_xlfn.IFNA(MATCH($A38,Alternatives!$C$88:$C$107,0),0)&gt;0,_xlfn.IFNA(VLOOKUP($A38,Alternatives!$C$88:$H$107,6,0)="Yes",0)),$P38,0)</f>
        <v>0</v>
      </c>
    </row>
    <row r="39" spans="1:89" s="104" customFormat="1" ht="42" customHeight="1" outlineLevel="1">
      <c r="A39" s="1106" t="s">
        <v>506</v>
      </c>
      <c r="B39" s="1097" t="s">
        <v>495</v>
      </c>
      <c r="C39" s="1098">
        <f t="shared" si="23"/>
        <v>15000</v>
      </c>
      <c r="D39" s="351">
        <f t="shared" si="0"/>
        <v>50000</v>
      </c>
      <c r="E39" s="595">
        <f>IF(B39='Drop Down Lists'!$AU$7,I39*Rate_NatGas+J39*Rate_Steam+K39*rate_util4+L39*Rate_Util5+M39*Rate_util6+H39*($I$75-$I$77),IF(OR(N39="Constant Demand",O39="Constant Annual"),D39,I39*Rate_NatGas+G39*Rate_EleckW+J39*Rate_Steam+K39*rate_util4+L39*Rate_Util5+M39*Rate_util6+IF(O39='Drop Down Lists'!$BB$2,$I$73*H39,IF(O39='Drop Down Lists'!$BB$3,$I$74*H39,IF(OR(N39='Drop Down Lists'!$BC$2,N39='Drop Down Lists'!$BC$4),$I$76*H39,IF(OR(N39='Drop Down Lists'!$BC$6,'Drop Down Lists'!$BC$8),$I$77*H39,IF(N39='Drop Down Lists'!$BC$5,$I$75*H39,$D$74*H39)))))))</f>
        <v>65000</v>
      </c>
      <c r="F39" s="1105">
        <v>-50000</v>
      </c>
      <c r="G39" s="1099">
        <v>0</v>
      </c>
      <c r="H39" s="1099">
        <v>300000</v>
      </c>
      <c r="I39" s="1099">
        <v>0</v>
      </c>
      <c r="J39" s="1100">
        <v>500000</v>
      </c>
      <c r="K39" s="1100">
        <v>0</v>
      </c>
      <c r="L39" s="1100">
        <v>0</v>
      </c>
      <c r="M39" s="1100">
        <v>0</v>
      </c>
      <c r="N39" s="352" t="s">
        <v>401</v>
      </c>
      <c r="O39" s="352" t="s">
        <v>402</v>
      </c>
      <c r="P39" s="791">
        <f>IF(B39="Carbon Offsets",Q39/'Building Info &amp; Assumptions'!$B$119,H39*CO2_perEleckBTU*kBTUperKWH+I39*CO2_perNatGaskBTU*kBTUperTherm+J39*CO2_perSteamkBTU*kBTUperlbsSteam+K39*CO2_perUtil4kBTU*kBTUperUnit_Util4+L39*CO2_perUtil5kBTU*kBTUperUnit_Util5+M39*CO2_perUtil6kBTU*kBTUperUnit_Util6)</f>
        <v>113.511894</v>
      </c>
      <c r="Q39" s="1101">
        <v>0</v>
      </c>
      <c r="R39" s="319">
        <f t="shared" si="1"/>
        <v>0</v>
      </c>
      <c r="S39" s="1101">
        <v>0</v>
      </c>
      <c r="T39" s="1102">
        <v>15</v>
      </c>
      <c r="U39" s="215">
        <f>Q39-S39</f>
        <v>0</v>
      </c>
      <c r="V39" s="309">
        <f t="shared" si="25"/>
        <v>0</v>
      </c>
      <c r="W39" s="216">
        <f t="shared" si="2"/>
        <v>0</v>
      </c>
      <c r="X39" s="246"/>
      <c r="Y39" s="15"/>
      <c r="Z39" s="371" t="e">
        <f>IF(OR(AND(#REF!&gt;0,H39&lt;0),AND(H39&gt;0,#REF!=0)),A39,"")</f>
        <v>#REF!</v>
      </c>
      <c r="AA39" s="1103">
        <f t="shared" si="26"/>
        <v>0</v>
      </c>
      <c r="AB39" s="1104">
        <f t="shared" si="35"/>
        <v>0</v>
      </c>
      <c r="AC39" s="1104">
        <f t="shared" si="35"/>
        <v>0</v>
      </c>
      <c r="AD39" s="1104">
        <f t="shared" si="35"/>
        <v>0</v>
      </c>
      <c r="AE39" s="1104">
        <f t="shared" si="35"/>
        <v>0</v>
      </c>
      <c r="AF39" s="1104">
        <f t="shared" si="35"/>
        <v>0</v>
      </c>
      <c r="AG39" s="1104">
        <f t="shared" si="35"/>
        <v>0</v>
      </c>
      <c r="AH39" s="1104">
        <f t="shared" si="35"/>
        <v>0</v>
      </c>
      <c r="AI39" s="1104">
        <f t="shared" si="35"/>
        <v>0</v>
      </c>
      <c r="AJ39" s="1104">
        <f t="shared" si="35"/>
        <v>0</v>
      </c>
      <c r="AK39" s="1104">
        <f t="shared" si="35"/>
        <v>0</v>
      </c>
      <c r="AL39" s="1104">
        <f t="shared" si="36"/>
        <v>0</v>
      </c>
      <c r="AM39" s="1104">
        <f t="shared" si="36"/>
        <v>0</v>
      </c>
      <c r="AN39" s="1104">
        <f t="shared" si="36"/>
        <v>0</v>
      </c>
      <c r="AO39" s="1104">
        <f t="shared" si="36"/>
        <v>0</v>
      </c>
      <c r="AP39" s="1104">
        <f t="shared" si="36"/>
        <v>0</v>
      </c>
      <c r="AQ39" s="1104">
        <f t="shared" si="36"/>
        <v>0</v>
      </c>
      <c r="AR39" s="1104">
        <f t="shared" si="36"/>
        <v>0</v>
      </c>
      <c r="AS39" s="1104">
        <f t="shared" si="36"/>
        <v>0</v>
      </c>
      <c r="AT39" s="1104">
        <f t="shared" si="36"/>
        <v>0</v>
      </c>
      <c r="AU39" s="1104">
        <f t="shared" si="36"/>
        <v>0</v>
      </c>
      <c r="AV39" s="730">
        <f>IFERROR((esc_elect*H39*kBTUperKWH+esc_gas*#REF!*kBTUperTherm+esc_steam*I39*kBTUperlbsSteam+#REF!*esc_chw*kBTUperUnit_Util4+J39*esc_hw*kBTUperUnit_Util5+K39*esc_oil*kBTUperUnit_Util6)/(H39*kBTUperKWH+#REF!*kBTUperTherm+I39*kBTUperlbsSteam+#REF!*kBTUperUnit_Util4+J39*kBTUperUnit_Util5+K39*kBTUperUnit_Util6),0)</f>
        <v>0</v>
      </c>
      <c r="AW39" s="397">
        <f t="shared" si="5"/>
        <v>0.68240000000000001</v>
      </c>
      <c r="AX39" s="397">
        <f t="shared" si="6"/>
        <v>0.68240000000000001</v>
      </c>
      <c r="AY39" s="397">
        <f t="shared" si="7"/>
        <v>0</v>
      </c>
      <c r="AZ39" s="397">
        <f t="shared" si="8"/>
        <v>0.39800000000000002</v>
      </c>
      <c r="BA39" s="397">
        <f t="shared" si="9"/>
        <v>0</v>
      </c>
      <c r="BB39" s="397">
        <f t="shared" si="10"/>
        <v>0</v>
      </c>
      <c r="BC39" s="397">
        <f t="shared" si="11"/>
        <v>0</v>
      </c>
      <c r="BD39" s="397">
        <f t="shared" si="27"/>
        <v>1.7627999999999999</v>
      </c>
      <c r="BE39" s="398">
        <f>BD39/'Building Info &amp; Assumptions'!$B$372</f>
        <v>1.0174642180494849E-2</v>
      </c>
      <c r="BF39" s="380"/>
      <c r="BG39" s="399">
        <f t="shared" si="12"/>
        <v>30000</v>
      </c>
      <c r="BH39" s="399">
        <f t="shared" si="13"/>
        <v>0</v>
      </c>
      <c r="BI39" s="399">
        <f t="shared" si="14"/>
        <v>0</v>
      </c>
      <c r="BJ39" s="399">
        <f t="shared" si="15"/>
        <v>20000</v>
      </c>
      <c r="BK39" s="399">
        <f t="shared" si="16"/>
        <v>0</v>
      </c>
      <c r="BL39" s="399">
        <f t="shared" si="17"/>
        <v>0</v>
      </c>
      <c r="BM39" s="399">
        <f t="shared" si="18"/>
        <v>0</v>
      </c>
      <c r="BN39" s="375"/>
      <c r="BO39" s="399">
        <f>IF(OR(N39="Constant Demand",O39="Constant Annual"),D39,$D$77*H39+IF(O39='Drop Down Lists'!$BB$2,$I$73*H39,IF(O39='Drop Down Lists'!$BB$4,$I$74*H39,IF(OR(N39='Drop Down Lists'!$BC$2,N39='Drop Down Lists'!$BC$4),$I$76*H39,IF(OR(N39='Drop Down Lists'!$BC$6,'Drop Down Lists'!$BC$8),$I$77*H39,IF(N39='Drop Down Lists'!$BC$5,$I$75*H39,$D$74*H39))))))</f>
        <v>57000</v>
      </c>
      <c r="BP39" s="399">
        <f t="shared" si="19"/>
        <v>0</v>
      </c>
      <c r="BQ39" s="375"/>
      <c r="BR39" s="586">
        <f t="shared" si="20"/>
        <v>77000</v>
      </c>
      <c r="BS39" s="401">
        <f t="shared" si="21"/>
        <v>0</v>
      </c>
      <c r="BT39" s="375"/>
      <c r="BU39" s="722" t="e">
        <f>VLOOKUP('Narrative &amp; Measures'!$A39,Alternatives!$C$15:$I$17,7,FALSE)</f>
        <v>#N/A</v>
      </c>
      <c r="BV39" s="722">
        <f>VLOOKUP('Narrative &amp; Measures'!$A39,Alternatives!$C$38:$I$57,7,FALSE)</f>
        <v>1</v>
      </c>
      <c r="BW39" s="722">
        <f>VLOOKUP('Narrative &amp; Measures'!$A39,Alternatives!$C$63:$I$82,7,FALSE)</f>
        <v>1</v>
      </c>
      <c r="BX39" s="722">
        <f>VLOOKUP('Narrative &amp; Measures'!$A39,Alternatives!$C$88:$I$107,7,FALSE)</f>
        <v>1</v>
      </c>
      <c r="BY39" s="479"/>
      <c r="BZ39" s="723">
        <f t="shared" si="28"/>
        <v>16</v>
      </c>
      <c r="CA39" s="723">
        <f t="shared" si="29"/>
        <v>16</v>
      </c>
      <c r="CB39" s="723">
        <f t="shared" si="30"/>
        <v>16</v>
      </c>
      <c r="CC39" s="722" t="e">
        <f t="shared" si="31"/>
        <v>#N/A</v>
      </c>
      <c r="CD39" s="722">
        <f t="shared" si="32"/>
        <v>16</v>
      </c>
      <c r="CE39" s="722">
        <f t="shared" si="33"/>
        <v>16</v>
      </c>
      <c r="CF39" s="722">
        <f t="shared" si="34"/>
        <v>16</v>
      </c>
      <c r="CH39" s="726">
        <f>IF(AND(OR(B39="Deferred Maintenance",B39="Immediate Repairs: Life Safety and Critical"),_xlfn.IFNA(MATCH($A39,Alternatives!$C$15:$C$17,0),0)&gt;0,_xlfn.IFNA(VLOOKUP($A39,Alternatives!$C$15:$H$17,6,0)="Yes",0)),$P39,0)</f>
        <v>0</v>
      </c>
      <c r="CI39" s="726">
        <f>IF(AND(_xlfn.IFNA(MATCH($A39,Alternatives!$C$38:$C$57,0),0)&gt;0,_xlfn.IFNA(VLOOKUP($A39,Alternatives!$C$38:$H$57,6,0)="Yes",0)),$P39,0)</f>
        <v>113.511894</v>
      </c>
      <c r="CJ39" s="726">
        <f>IF(AND(_xlfn.IFNA(MATCH($A39,Alternatives!$C$63:$C$82,0),0)&gt;0,_xlfn.IFNA(VLOOKUP($A39,Alternatives!$C$63:$H$82,6,0)="Yes",0)),$P39,0)</f>
        <v>113.511894</v>
      </c>
      <c r="CK39" s="726">
        <f>IF(AND(_xlfn.IFNA(MATCH($A39,Alternatives!$C$88:$C$107,0),0)&gt;0,_xlfn.IFNA(VLOOKUP($A39,Alternatives!$C$88:$H$107,6,0)="Yes",0)),$P39,0)</f>
        <v>0</v>
      </c>
    </row>
    <row r="40" spans="1:89" s="104" customFormat="1" ht="42" customHeight="1" outlineLevel="1">
      <c r="A40" s="1106"/>
      <c r="B40" s="1097"/>
      <c r="C40" s="1098">
        <f t="shared" si="23"/>
        <v>0</v>
      </c>
      <c r="D40" s="351">
        <f t="shared" si="0"/>
        <v>0</v>
      </c>
      <c r="E40" s="595">
        <f>IF(B40='Drop Down Lists'!$AU$7,I40*Rate_NatGas+J40*Rate_Steam+K40*rate_util4+L40*Rate_Util5+M40*Rate_util6+H40*($I$75-$I$77),IF(OR(N40="Constant Demand",O40="Constant Annual"),D40,I40*Rate_NatGas+G40*Rate_EleckW+J40*Rate_Steam+K40*rate_util4+L40*Rate_Util5+M40*Rate_util6+IF(O40='Drop Down Lists'!$BB$2,$I$73*H40,IF(O40='Drop Down Lists'!$BB$3,$I$74*H40,IF(OR(N40='Drop Down Lists'!$BC$2,N40='Drop Down Lists'!$BC$4),$I$76*H40,IF(OR(N40='Drop Down Lists'!$BC$6,'Drop Down Lists'!$BC$8),$I$77*H40,IF(N40='Drop Down Lists'!$BC$5,$I$75*H40,$D$74*H40)))))))</f>
        <v>0</v>
      </c>
      <c r="F40" s="1105"/>
      <c r="G40" s="1099"/>
      <c r="H40" s="1099"/>
      <c r="I40" s="1099"/>
      <c r="J40" s="1100"/>
      <c r="K40" s="1100">
        <v>0</v>
      </c>
      <c r="L40" s="1100">
        <v>0</v>
      </c>
      <c r="M40" s="1100">
        <v>0</v>
      </c>
      <c r="N40" s="352"/>
      <c r="O40" s="352"/>
      <c r="P40" s="791">
        <f>IF(B40="Carbon Offsets",Q40/'Building Info &amp; Assumptions'!$B$119,H40*CO2_perEleckBTU*kBTUperKWH+I40*CO2_perNatGaskBTU*kBTUperTherm+J40*CO2_perSteamkBTU*kBTUperlbsSteam+K40*CO2_perUtil4kBTU*kBTUperUnit_Util4+L40*CO2_perUtil5kBTU*kBTUperUnit_Util5+M40*CO2_perUtil6kBTU*kBTUperUnit_Util6)</f>
        <v>0</v>
      </c>
      <c r="Q40" s="1101"/>
      <c r="R40" s="319">
        <f t="shared" si="1"/>
        <v>0</v>
      </c>
      <c r="S40" s="1101"/>
      <c r="T40" s="1102"/>
      <c r="U40" s="215">
        <f t="shared" si="24"/>
        <v>0</v>
      </c>
      <c r="V40" s="309">
        <f t="shared" si="25"/>
        <v>0</v>
      </c>
      <c r="W40" s="216" t="str">
        <f t="shared" si="2"/>
        <v>N/A</v>
      </c>
      <c r="X40" s="246"/>
      <c r="Y40" s="15"/>
      <c r="Z40" s="371" t="e">
        <f>IF(OR(AND(#REF!&gt;0,H40&lt;0),AND(H40&gt;0,#REF!=0)),A40,"")</f>
        <v>#REF!</v>
      </c>
      <c r="AA40" s="1103">
        <f t="shared" si="26"/>
        <v>0</v>
      </c>
      <c r="AB40" s="1104">
        <f t="shared" si="35"/>
        <v>0</v>
      </c>
      <c r="AC40" s="1104">
        <f t="shared" si="35"/>
        <v>0</v>
      </c>
      <c r="AD40" s="1104">
        <f t="shared" si="35"/>
        <v>0</v>
      </c>
      <c r="AE40" s="1104">
        <f t="shared" si="35"/>
        <v>0</v>
      </c>
      <c r="AF40" s="1104">
        <f t="shared" si="35"/>
        <v>0</v>
      </c>
      <c r="AG40" s="1104">
        <f t="shared" si="35"/>
        <v>0</v>
      </c>
      <c r="AH40" s="1104">
        <f t="shared" si="35"/>
        <v>0</v>
      </c>
      <c r="AI40" s="1104">
        <f t="shared" si="35"/>
        <v>0</v>
      </c>
      <c r="AJ40" s="1104">
        <f t="shared" si="35"/>
        <v>0</v>
      </c>
      <c r="AK40" s="1104">
        <f t="shared" si="35"/>
        <v>0</v>
      </c>
      <c r="AL40" s="1104">
        <f t="shared" si="36"/>
        <v>0</v>
      </c>
      <c r="AM40" s="1104">
        <f t="shared" si="36"/>
        <v>0</v>
      </c>
      <c r="AN40" s="1104">
        <f t="shared" si="36"/>
        <v>0</v>
      </c>
      <c r="AO40" s="1104">
        <f t="shared" si="36"/>
        <v>0</v>
      </c>
      <c r="AP40" s="1104">
        <f t="shared" si="36"/>
        <v>0</v>
      </c>
      <c r="AQ40" s="1104">
        <f t="shared" si="36"/>
        <v>0</v>
      </c>
      <c r="AR40" s="1104">
        <f t="shared" si="36"/>
        <v>0</v>
      </c>
      <c r="AS40" s="1104">
        <f t="shared" si="36"/>
        <v>0</v>
      </c>
      <c r="AT40" s="1104">
        <f t="shared" si="36"/>
        <v>0</v>
      </c>
      <c r="AU40" s="1104">
        <f t="shared" si="36"/>
        <v>0</v>
      </c>
      <c r="AV40" s="730">
        <f>IFERROR((esc_elect*H40*kBTUperKWH+esc_gas*#REF!*kBTUperTherm+esc_steam*I40*kBTUperlbsSteam+#REF!*esc_chw*kBTUperUnit_Util4+J40*esc_hw*kBTUperUnit_Util5+K40*esc_oil*kBTUperUnit_Util6)/(H40*kBTUperKWH+#REF!*kBTUperTherm+I40*kBTUperlbsSteam+#REF!*kBTUperUnit_Util4+J40*kBTUperUnit_Util5+K40*kBTUperUnit_Util6),0)</f>
        <v>0</v>
      </c>
      <c r="AW40" s="397">
        <f t="shared" si="5"/>
        <v>0</v>
      </c>
      <c r="AX40" s="397">
        <f t="shared" si="6"/>
        <v>0</v>
      </c>
      <c r="AY40" s="397">
        <f t="shared" si="7"/>
        <v>0</v>
      </c>
      <c r="AZ40" s="397">
        <f t="shared" si="8"/>
        <v>0</v>
      </c>
      <c r="BA40" s="397">
        <f t="shared" si="9"/>
        <v>0</v>
      </c>
      <c r="BB40" s="397">
        <f t="shared" si="10"/>
        <v>0</v>
      </c>
      <c r="BC40" s="397">
        <f t="shared" si="11"/>
        <v>0</v>
      </c>
      <c r="BD40" s="397">
        <f t="shared" si="27"/>
        <v>0</v>
      </c>
      <c r="BE40" s="398">
        <f>BD40/'Building Info &amp; Assumptions'!$B$372</f>
        <v>0</v>
      </c>
      <c r="BF40" s="380"/>
      <c r="BG40" s="399">
        <f t="shared" si="12"/>
        <v>0</v>
      </c>
      <c r="BH40" s="399">
        <f t="shared" si="13"/>
        <v>0</v>
      </c>
      <c r="BI40" s="399">
        <f t="shared" si="14"/>
        <v>0</v>
      </c>
      <c r="BJ40" s="399">
        <f t="shared" si="15"/>
        <v>0</v>
      </c>
      <c r="BK40" s="399">
        <f t="shared" si="16"/>
        <v>0</v>
      </c>
      <c r="BL40" s="399">
        <f t="shared" si="17"/>
        <v>0</v>
      </c>
      <c r="BM40" s="399">
        <f t="shared" si="18"/>
        <v>0</v>
      </c>
      <c r="BN40" s="375"/>
      <c r="BO40" s="399">
        <f>IF(OR(N40="Constant Demand",O40="Constant Annual"),D40,$D$77*H40+IF(O40='Drop Down Lists'!$BB$2,$I$73*H40,IF(O40='Drop Down Lists'!$BB$4,$I$74*H40,IF(OR(N40='Drop Down Lists'!$BC$2,N40='Drop Down Lists'!$BC$4),$I$76*H40,IF(OR(N40='Drop Down Lists'!$BC$6,'Drop Down Lists'!$BC$8),$I$77*H40,IF(N40='Drop Down Lists'!$BC$5,$I$75*H40,$D$74*H40))))))</f>
        <v>0</v>
      </c>
      <c r="BP40" s="399">
        <f t="shared" si="19"/>
        <v>0</v>
      </c>
      <c r="BQ40" s="375"/>
      <c r="BR40" s="586">
        <f t="shared" si="20"/>
        <v>0</v>
      </c>
      <c r="BS40" s="401">
        <f t="shared" si="21"/>
        <v>0</v>
      </c>
      <c r="BT40" s="375"/>
      <c r="BU40" s="722" t="e">
        <f>VLOOKUP('Narrative &amp; Measures'!$A40,Alternatives!$C$15:$I$17,7,FALSE)</f>
        <v>#N/A</v>
      </c>
      <c r="BV40" s="722" t="e">
        <f>VLOOKUP('Narrative &amp; Measures'!$A40,Alternatives!$C$38:$I$57,7,FALSE)</f>
        <v>#N/A</v>
      </c>
      <c r="BW40" s="722" t="e">
        <f>VLOOKUP('Narrative &amp; Measures'!$A40,Alternatives!$C$63:$I$82,7,FALSE)</f>
        <v>#N/A</v>
      </c>
      <c r="BX40" s="722" t="e">
        <f>VLOOKUP('Narrative &amp; Measures'!$A40,Alternatives!$C$88:$I$107,7,FALSE)</f>
        <v>#N/A</v>
      </c>
      <c r="BY40" s="479"/>
      <c r="BZ40" s="723" t="e">
        <f t="shared" si="28"/>
        <v>#N/A</v>
      </c>
      <c r="CA40" s="723" t="e">
        <f t="shared" si="29"/>
        <v>#N/A</v>
      </c>
      <c r="CB40" s="723" t="e">
        <f t="shared" si="30"/>
        <v>#N/A</v>
      </c>
      <c r="CC40" s="722" t="e">
        <f t="shared" si="31"/>
        <v>#N/A</v>
      </c>
      <c r="CD40" s="722" t="e">
        <f t="shared" si="32"/>
        <v>#N/A</v>
      </c>
      <c r="CE40" s="722" t="e">
        <f t="shared" si="33"/>
        <v>#N/A</v>
      </c>
      <c r="CF40" s="722" t="e">
        <f t="shared" si="34"/>
        <v>#N/A</v>
      </c>
      <c r="CH40" s="726">
        <f>IF(AND(OR(B40="Deferred Maintenance",B40="Immediate Repairs: Life Safety and Critical"),_xlfn.IFNA(MATCH($A40,Alternatives!$C$15:$C$17,0),0)&gt;0,_xlfn.IFNA(VLOOKUP($A40,Alternatives!$C$15:$H$17,6,0)="Yes",0)),$P40,0)</f>
        <v>0</v>
      </c>
      <c r="CI40" s="726">
        <f>IF(AND(_xlfn.IFNA(MATCH($A40,Alternatives!$C$38:$C$57,0),0)&gt;0,_xlfn.IFNA(VLOOKUP($A40,Alternatives!$C$38:$H$57,6,0)="Yes",0)),$P40,0)</f>
        <v>0</v>
      </c>
      <c r="CJ40" s="726">
        <f>IF(AND(_xlfn.IFNA(MATCH($A40,Alternatives!$C$63:$C$82,0),0)&gt;0,_xlfn.IFNA(VLOOKUP($A40,Alternatives!$C$63:$H$82,6,0)="Yes",0)),$P40,0)</f>
        <v>0</v>
      </c>
      <c r="CK40" s="726">
        <f>IF(AND(_xlfn.IFNA(MATCH($A40,Alternatives!$C$88:$C$107,0),0)&gt;0,_xlfn.IFNA(VLOOKUP($A40,Alternatives!$C$88:$H$107,6,0)="Yes",0)),$P40,0)</f>
        <v>0</v>
      </c>
    </row>
    <row r="41" spans="1:89" s="104" customFormat="1" ht="42" customHeight="1" outlineLevel="1">
      <c r="A41" s="1106"/>
      <c r="B41" s="1097"/>
      <c r="C41" s="1098">
        <f t="shared" si="23"/>
        <v>0</v>
      </c>
      <c r="D41" s="351">
        <f t="shared" si="0"/>
        <v>0</v>
      </c>
      <c r="E41" s="595">
        <f>IF(B41='Drop Down Lists'!$AU$7,I41*Rate_NatGas+J41*Rate_Steam+K41*rate_util4+L41*Rate_Util5+M41*Rate_util6+H41*($I$75-$I$77),IF(OR(N41="Constant Demand",O41="Constant Annual"),D41,I41*Rate_NatGas+G41*Rate_EleckW+J41*Rate_Steam+K41*rate_util4+L41*Rate_Util5+M41*Rate_util6+IF(O41='Drop Down Lists'!$BB$2,$I$73*H41,IF(O41='Drop Down Lists'!$BB$3,$I$74*H41,IF(OR(N41='Drop Down Lists'!$BC$2,N41='Drop Down Lists'!$BC$4),$I$76*H41,IF(OR(N41='Drop Down Lists'!$BC$6,'Drop Down Lists'!$BC$8),$I$77*H41,IF(N41='Drop Down Lists'!$BC$5,$I$75*H41,$D$74*H41)))))))</f>
        <v>0</v>
      </c>
      <c r="F41" s="1105"/>
      <c r="G41" s="1099"/>
      <c r="H41" s="1099"/>
      <c r="I41" s="1099"/>
      <c r="J41" s="1100"/>
      <c r="K41" s="1100">
        <v>0</v>
      </c>
      <c r="L41" s="1100">
        <v>0</v>
      </c>
      <c r="M41" s="1100">
        <v>0</v>
      </c>
      <c r="N41" s="352"/>
      <c r="O41" s="352"/>
      <c r="P41" s="791">
        <f>IF(B41="Carbon Offsets",Q41/'Building Info &amp; Assumptions'!$B$119,H41*CO2_perEleckBTU*kBTUperKWH+I41*CO2_perNatGaskBTU*kBTUperTherm+J41*CO2_perSteamkBTU*kBTUperlbsSteam+K41*CO2_perUtil4kBTU*kBTUperUnit_Util4+L41*CO2_perUtil5kBTU*kBTUperUnit_Util5+M41*CO2_perUtil6kBTU*kBTUperUnit_Util6)</f>
        <v>0</v>
      </c>
      <c r="Q41" s="1101"/>
      <c r="R41" s="319">
        <f t="shared" si="1"/>
        <v>0</v>
      </c>
      <c r="S41" s="1101"/>
      <c r="T41" s="1102"/>
      <c r="U41" s="215">
        <f t="shared" si="24"/>
        <v>0</v>
      </c>
      <c r="V41" s="309">
        <f t="shared" si="25"/>
        <v>0</v>
      </c>
      <c r="W41" s="216" t="str">
        <f t="shared" si="2"/>
        <v>N/A</v>
      </c>
      <c r="X41" s="246"/>
      <c r="Y41" s="15"/>
      <c r="Z41" s="371" t="e">
        <f>IF(OR(AND(#REF!&gt;0,H41&lt;0),AND(H41&gt;0,#REF!=0)),A41,"")</f>
        <v>#REF!</v>
      </c>
      <c r="AA41" s="1103">
        <f t="shared" si="26"/>
        <v>0</v>
      </c>
      <c r="AB41" s="1104">
        <f t="shared" si="35"/>
        <v>0</v>
      </c>
      <c r="AC41" s="1104">
        <f t="shared" si="35"/>
        <v>0</v>
      </c>
      <c r="AD41" s="1104">
        <f t="shared" si="35"/>
        <v>0</v>
      </c>
      <c r="AE41" s="1104">
        <f t="shared" si="35"/>
        <v>0</v>
      </c>
      <c r="AF41" s="1104">
        <f t="shared" si="35"/>
        <v>0</v>
      </c>
      <c r="AG41" s="1104">
        <f t="shared" si="35"/>
        <v>0</v>
      </c>
      <c r="AH41" s="1104">
        <f t="shared" si="35"/>
        <v>0</v>
      </c>
      <c r="AI41" s="1104">
        <f t="shared" si="35"/>
        <v>0</v>
      </c>
      <c r="AJ41" s="1104">
        <f t="shared" si="35"/>
        <v>0</v>
      </c>
      <c r="AK41" s="1104">
        <f t="shared" si="35"/>
        <v>0</v>
      </c>
      <c r="AL41" s="1104">
        <f t="shared" si="36"/>
        <v>0</v>
      </c>
      <c r="AM41" s="1104">
        <f t="shared" si="36"/>
        <v>0</v>
      </c>
      <c r="AN41" s="1104">
        <f t="shared" si="36"/>
        <v>0</v>
      </c>
      <c r="AO41" s="1104">
        <f t="shared" si="36"/>
        <v>0</v>
      </c>
      <c r="AP41" s="1104">
        <f t="shared" si="36"/>
        <v>0</v>
      </c>
      <c r="AQ41" s="1104">
        <f t="shared" si="36"/>
        <v>0</v>
      </c>
      <c r="AR41" s="1104">
        <f t="shared" si="36"/>
        <v>0</v>
      </c>
      <c r="AS41" s="1104">
        <f t="shared" si="36"/>
        <v>0</v>
      </c>
      <c r="AT41" s="1104">
        <f t="shared" si="36"/>
        <v>0</v>
      </c>
      <c r="AU41" s="1104">
        <f t="shared" si="36"/>
        <v>0</v>
      </c>
      <c r="AV41" s="730">
        <f>IFERROR((esc_elect*H41*kBTUperKWH+esc_gas*#REF!*kBTUperTherm+esc_steam*I41*kBTUperlbsSteam+#REF!*esc_chw*kBTUperUnit_Util4+J41*esc_hw*kBTUperUnit_Util5+K41*esc_oil*kBTUperUnit_Util6)/(H41*kBTUperKWH+#REF!*kBTUperTherm+I41*kBTUperlbsSteam+#REF!*kBTUperUnit_Util4+J41*kBTUperUnit_Util5+K41*kBTUperUnit_Util6),0)</f>
        <v>0</v>
      </c>
      <c r="AW41" s="397">
        <f t="shared" si="5"/>
        <v>0</v>
      </c>
      <c r="AX41" s="397">
        <f t="shared" si="6"/>
        <v>0</v>
      </c>
      <c r="AY41" s="397">
        <f t="shared" si="7"/>
        <v>0</v>
      </c>
      <c r="AZ41" s="397">
        <f t="shared" si="8"/>
        <v>0</v>
      </c>
      <c r="BA41" s="397">
        <f t="shared" si="9"/>
        <v>0</v>
      </c>
      <c r="BB41" s="397">
        <f t="shared" si="10"/>
        <v>0</v>
      </c>
      <c r="BC41" s="397">
        <f t="shared" si="11"/>
        <v>0</v>
      </c>
      <c r="BD41" s="397">
        <f t="shared" si="27"/>
        <v>0</v>
      </c>
      <c r="BE41" s="398">
        <f>BD41/'Building Info &amp; Assumptions'!$B$372</f>
        <v>0</v>
      </c>
      <c r="BF41" s="380"/>
      <c r="BG41" s="399">
        <f t="shared" si="12"/>
        <v>0</v>
      </c>
      <c r="BH41" s="399">
        <f t="shared" si="13"/>
        <v>0</v>
      </c>
      <c r="BI41" s="399">
        <f t="shared" si="14"/>
        <v>0</v>
      </c>
      <c r="BJ41" s="399">
        <f t="shared" si="15"/>
        <v>0</v>
      </c>
      <c r="BK41" s="399">
        <f t="shared" si="16"/>
        <v>0</v>
      </c>
      <c r="BL41" s="399">
        <f t="shared" si="17"/>
        <v>0</v>
      </c>
      <c r="BM41" s="399">
        <f t="shared" si="18"/>
        <v>0</v>
      </c>
      <c r="BN41" s="375"/>
      <c r="BO41" s="399">
        <f>IF(OR(N41="Constant Demand",O41="Constant Annual"),D41,$D$77*H41+IF(O41='Drop Down Lists'!$BB$2,$I$73*H41,IF(O41='Drop Down Lists'!$BB$4,$I$74*H41,IF(OR(N41='Drop Down Lists'!$BC$2,N41='Drop Down Lists'!$BC$4),$I$76*H41,IF(OR(N41='Drop Down Lists'!$BC$6,'Drop Down Lists'!$BC$8),$I$77*H41,IF(N41='Drop Down Lists'!$BC$5,$I$75*H41,$D$74*H41))))))</f>
        <v>0</v>
      </c>
      <c r="BP41" s="399">
        <f t="shared" si="19"/>
        <v>0</v>
      </c>
      <c r="BQ41" s="375"/>
      <c r="BR41" s="586">
        <f t="shared" si="20"/>
        <v>0</v>
      </c>
      <c r="BS41" s="401">
        <f t="shared" si="21"/>
        <v>0</v>
      </c>
      <c r="BT41" s="375"/>
      <c r="BU41" s="722" t="e">
        <f>VLOOKUP('Narrative &amp; Measures'!$A41,Alternatives!$C$15:$I$17,7,FALSE)</f>
        <v>#N/A</v>
      </c>
      <c r="BV41" s="722" t="e">
        <f>VLOOKUP('Narrative &amp; Measures'!$A41,Alternatives!$C$38:$I$57,7,FALSE)</f>
        <v>#N/A</v>
      </c>
      <c r="BW41" s="722" t="e">
        <f>VLOOKUP('Narrative &amp; Measures'!$A41,Alternatives!$C$63:$I$82,7,FALSE)</f>
        <v>#N/A</v>
      </c>
      <c r="BX41" s="722" t="e">
        <f>VLOOKUP('Narrative &amp; Measures'!$A41,Alternatives!$C$88:$I$107,7,FALSE)</f>
        <v>#N/A</v>
      </c>
      <c r="BY41" s="479"/>
      <c r="BZ41" s="723" t="e">
        <f t="shared" si="28"/>
        <v>#N/A</v>
      </c>
      <c r="CA41" s="723" t="e">
        <f t="shared" si="29"/>
        <v>#N/A</v>
      </c>
      <c r="CB41" s="723" t="e">
        <f t="shared" si="30"/>
        <v>#N/A</v>
      </c>
      <c r="CC41" s="722" t="e">
        <f t="shared" si="31"/>
        <v>#N/A</v>
      </c>
      <c r="CD41" s="722" t="e">
        <f t="shared" si="32"/>
        <v>#N/A</v>
      </c>
      <c r="CE41" s="722" t="e">
        <f t="shared" si="33"/>
        <v>#N/A</v>
      </c>
      <c r="CF41" s="722" t="e">
        <f t="shared" si="34"/>
        <v>#N/A</v>
      </c>
      <c r="CH41" s="726">
        <f>IF(AND(OR(B41="Deferred Maintenance",B41="Immediate Repairs: Life Safety and Critical"),_xlfn.IFNA(MATCH($A41,Alternatives!$C$15:$C$17,0),0)&gt;0,_xlfn.IFNA(VLOOKUP($A41,Alternatives!$C$15:$H$17,6,0)="Yes",0)),$P41,0)</f>
        <v>0</v>
      </c>
      <c r="CI41" s="726">
        <f>IF(AND(_xlfn.IFNA(MATCH($A41,Alternatives!$C$38:$C$57,0),0)&gt;0,_xlfn.IFNA(VLOOKUP($A41,Alternatives!$C$38:$H$57,6,0)="Yes",0)),$P41,0)</f>
        <v>0</v>
      </c>
      <c r="CJ41" s="726">
        <f>IF(AND(_xlfn.IFNA(MATCH($A41,Alternatives!$C$63:$C$82,0),0)&gt;0,_xlfn.IFNA(VLOOKUP($A41,Alternatives!$C$63:$H$82,6,0)="Yes",0)),$P41,0)</f>
        <v>0</v>
      </c>
      <c r="CK41" s="726">
        <f>IF(AND(_xlfn.IFNA(MATCH($A41,Alternatives!$C$88:$C$107,0),0)&gt;0,_xlfn.IFNA(VLOOKUP($A41,Alternatives!$C$88:$H$107,6,0)="Yes",0)),$P41,0)</f>
        <v>0</v>
      </c>
    </row>
    <row r="42" spans="1:89" s="104" customFormat="1" ht="42" customHeight="1" outlineLevel="1">
      <c r="A42" s="1106"/>
      <c r="B42" s="1097"/>
      <c r="C42" s="1098">
        <f t="shared" si="23"/>
        <v>0</v>
      </c>
      <c r="D42" s="351">
        <f t="shared" si="0"/>
        <v>0</v>
      </c>
      <c r="E42" s="595">
        <f>IF(B42='Drop Down Lists'!$AU$7,I42*Rate_NatGas+J42*Rate_Steam+K42*rate_util4+L42*Rate_Util5+M42*Rate_util6+H42*($I$75-$I$77),IF(OR(N42="Constant Demand",O42="Constant Annual"),D42,I42*Rate_NatGas+G42*Rate_EleckW+J42*Rate_Steam+K42*rate_util4+L42*Rate_Util5+M42*Rate_util6+IF(O42='Drop Down Lists'!$BB$2,$I$73*H42,IF(O42='Drop Down Lists'!$BB$3,$I$74*H42,IF(OR(N42='Drop Down Lists'!$BC$2,N42='Drop Down Lists'!$BC$4),$I$76*H42,IF(OR(N42='Drop Down Lists'!$BC$6,'Drop Down Lists'!$BC$8),$I$77*H42,IF(N42='Drop Down Lists'!$BC$5,$I$75*H42,$D$74*H42)))))))</f>
        <v>0</v>
      </c>
      <c r="F42" s="1105"/>
      <c r="G42" s="1099"/>
      <c r="H42" s="1099"/>
      <c r="I42" s="1099"/>
      <c r="J42" s="1100"/>
      <c r="K42" s="1100">
        <v>0</v>
      </c>
      <c r="L42" s="1100">
        <v>0</v>
      </c>
      <c r="M42" s="1100">
        <v>0</v>
      </c>
      <c r="N42" s="352"/>
      <c r="O42" s="352"/>
      <c r="P42" s="791">
        <f>IF(B42="Carbon Offsets",Q42/'Building Info &amp; Assumptions'!$B$119,H42*CO2_perEleckBTU*kBTUperKWH+I42*CO2_perNatGaskBTU*kBTUperTherm+J42*CO2_perSteamkBTU*kBTUperlbsSteam+K42*CO2_perUtil4kBTU*kBTUperUnit_Util4+L42*CO2_perUtil5kBTU*kBTUperUnit_Util5+M42*CO2_perUtil6kBTU*kBTUperUnit_Util6)</f>
        <v>0</v>
      </c>
      <c r="Q42" s="1101"/>
      <c r="R42" s="319">
        <f t="shared" si="1"/>
        <v>0</v>
      </c>
      <c r="S42" s="1101"/>
      <c r="T42" s="1102"/>
      <c r="U42" s="215">
        <f t="shared" ref="U42:U67" si="37">Q42-S42</f>
        <v>0</v>
      </c>
      <c r="V42" s="309">
        <f t="shared" ref="V42:V67" si="38">U42-SUM(AA42:AM42)</f>
        <v>0</v>
      </c>
      <c r="W42" s="216" t="str">
        <f t="shared" si="2"/>
        <v>N/A</v>
      </c>
      <c r="X42" s="246"/>
      <c r="Y42" s="15"/>
      <c r="Z42" s="371" t="e">
        <f>IF(OR(AND(#REF!&gt;0,H42&lt;0),AND(H42&gt;0,#REF!=0)),A42,"")</f>
        <v>#REF!</v>
      </c>
      <c r="AA42" s="1103">
        <f t="shared" si="26"/>
        <v>0</v>
      </c>
      <c r="AB42" s="1104">
        <f t="shared" si="35"/>
        <v>0</v>
      </c>
      <c r="AC42" s="1104">
        <f t="shared" si="35"/>
        <v>0</v>
      </c>
      <c r="AD42" s="1104">
        <f t="shared" si="35"/>
        <v>0</v>
      </c>
      <c r="AE42" s="1104">
        <f t="shared" si="35"/>
        <v>0</v>
      </c>
      <c r="AF42" s="1104">
        <f t="shared" si="35"/>
        <v>0</v>
      </c>
      <c r="AG42" s="1104">
        <f t="shared" si="35"/>
        <v>0</v>
      </c>
      <c r="AH42" s="1104">
        <f t="shared" si="35"/>
        <v>0</v>
      </c>
      <c r="AI42" s="1104">
        <f t="shared" si="35"/>
        <v>0</v>
      </c>
      <c r="AJ42" s="1104">
        <f t="shared" si="35"/>
        <v>0</v>
      </c>
      <c r="AK42" s="1104">
        <f t="shared" si="35"/>
        <v>0</v>
      </c>
      <c r="AL42" s="1104">
        <f t="shared" si="36"/>
        <v>0</v>
      </c>
      <c r="AM42" s="1104">
        <f t="shared" si="36"/>
        <v>0</v>
      </c>
      <c r="AN42" s="1104">
        <f t="shared" si="36"/>
        <v>0</v>
      </c>
      <c r="AO42" s="1104">
        <f t="shared" si="36"/>
        <v>0</v>
      </c>
      <c r="AP42" s="1104">
        <f t="shared" si="36"/>
        <v>0</v>
      </c>
      <c r="AQ42" s="1104">
        <f t="shared" si="36"/>
        <v>0</v>
      </c>
      <c r="AR42" s="1104">
        <f t="shared" si="36"/>
        <v>0</v>
      </c>
      <c r="AS42" s="1104">
        <f t="shared" si="36"/>
        <v>0</v>
      </c>
      <c r="AT42" s="1104">
        <f t="shared" si="36"/>
        <v>0</v>
      </c>
      <c r="AU42" s="1104">
        <f t="shared" si="36"/>
        <v>0</v>
      </c>
      <c r="AV42" s="730">
        <f>IFERROR((esc_elect*H42*kBTUperKWH+esc_gas*#REF!*kBTUperTherm+esc_steam*I42*kBTUperlbsSteam+#REF!*esc_chw*kBTUperUnit_Util4+J42*esc_hw*kBTUperUnit_Util5+K42*esc_oil*kBTUperUnit_Util6)/(H42*kBTUperKWH+#REF!*kBTUperTherm+I42*kBTUperlbsSteam+#REF!*kBTUperUnit_Util4+J42*kBTUperUnit_Util5+K42*kBTUperUnit_Util6),0)</f>
        <v>0</v>
      </c>
      <c r="AW42" s="397">
        <f t="shared" si="5"/>
        <v>0</v>
      </c>
      <c r="AX42" s="397">
        <f t="shared" si="6"/>
        <v>0</v>
      </c>
      <c r="AY42" s="397">
        <f t="shared" si="7"/>
        <v>0</v>
      </c>
      <c r="AZ42" s="397">
        <f t="shared" si="8"/>
        <v>0</v>
      </c>
      <c r="BA42" s="397">
        <f t="shared" si="9"/>
        <v>0</v>
      </c>
      <c r="BB42" s="397">
        <f t="shared" si="10"/>
        <v>0</v>
      </c>
      <c r="BC42" s="397">
        <f t="shared" si="11"/>
        <v>0</v>
      </c>
      <c r="BD42" s="397">
        <f t="shared" si="27"/>
        <v>0</v>
      </c>
      <c r="BE42" s="398">
        <f>BD42/'Building Info &amp; Assumptions'!$B$372</f>
        <v>0</v>
      </c>
      <c r="BF42" s="380"/>
      <c r="BG42" s="399">
        <f t="shared" si="12"/>
        <v>0</v>
      </c>
      <c r="BH42" s="399">
        <f t="shared" si="13"/>
        <v>0</v>
      </c>
      <c r="BI42" s="399">
        <f t="shared" si="14"/>
        <v>0</v>
      </c>
      <c r="BJ42" s="399">
        <f t="shared" si="15"/>
        <v>0</v>
      </c>
      <c r="BK42" s="399">
        <f t="shared" si="16"/>
        <v>0</v>
      </c>
      <c r="BL42" s="399">
        <f t="shared" si="17"/>
        <v>0</v>
      </c>
      <c r="BM42" s="399">
        <f t="shared" si="18"/>
        <v>0</v>
      </c>
      <c r="BN42" s="375"/>
      <c r="BO42" s="399">
        <f>IF(OR(N42="Constant Demand",O42="Constant Annual"),D42,$D$77*H42+IF(O42='Drop Down Lists'!$BB$2,$I$73*H42,IF(O42='Drop Down Lists'!$BB$4,$I$74*H42,IF(OR(N42='Drop Down Lists'!$BC$2,N42='Drop Down Lists'!$BC$4),$I$76*H42,IF(OR(N42='Drop Down Lists'!$BC$6,'Drop Down Lists'!$BC$8),$I$77*H42,IF(N42='Drop Down Lists'!$BC$5,$I$75*H42,$D$74*H42))))))</f>
        <v>0</v>
      </c>
      <c r="BP42" s="399">
        <f t="shared" si="19"/>
        <v>0</v>
      </c>
      <c r="BQ42" s="375"/>
      <c r="BR42" s="586">
        <f t="shared" si="20"/>
        <v>0</v>
      </c>
      <c r="BS42" s="401">
        <f t="shared" si="21"/>
        <v>0</v>
      </c>
      <c r="BT42" s="375"/>
      <c r="BU42" s="722" t="e">
        <f>VLOOKUP('Narrative &amp; Measures'!$A42,Alternatives!$C$15:$I$17,7,FALSE)</f>
        <v>#N/A</v>
      </c>
      <c r="BV42" s="722" t="e">
        <f>VLOOKUP('Narrative &amp; Measures'!$A42,Alternatives!$C$38:$I$57,7,FALSE)</f>
        <v>#N/A</v>
      </c>
      <c r="BW42" s="722" t="e">
        <f>VLOOKUP('Narrative &amp; Measures'!$A42,Alternatives!$C$63:$I$82,7,FALSE)</f>
        <v>#N/A</v>
      </c>
      <c r="BX42" s="722" t="e">
        <f>VLOOKUP('Narrative &amp; Measures'!$A42,Alternatives!$C$88:$I$107,7,FALSE)</f>
        <v>#N/A</v>
      </c>
      <c r="BY42" s="479"/>
      <c r="BZ42" s="723" t="e">
        <f t="shared" si="28"/>
        <v>#N/A</v>
      </c>
      <c r="CA42" s="723" t="e">
        <f t="shared" si="29"/>
        <v>#N/A</v>
      </c>
      <c r="CB42" s="723" t="e">
        <f t="shared" si="30"/>
        <v>#N/A</v>
      </c>
      <c r="CC42" s="722" t="e">
        <f t="shared" si="31"/>
        <v>#N/A</v>
      </c>
      <c r="CD42" s="722" t="e">
        <f t="shared" si="32"/>
        <v>#N/A</v>
      </c>
      <c r="CE42" s="722" t="e">
        <f t="shared" si="33"/>
        <v>#N/A</v>
      </c>
      <c r="CF42" s="722" t="e">
        <f t="shared" si="34"/>
        <v>#N/A</v>
      </c>
      <c r="CH42" s="726">
        <f>IF(AND(OR(B42="Deferred Maintenance",B42="Immediate Repairs: Life Safety and Critical"),_xlfn.IFNA(MATCH($A42,Alternatives!$C$15:$C$17,0),0)&gt;0,_xlfn.IFNA(VLOOKUP($A42,Alternatives!$C$15:$H$17,6,0)="Yes",0)),$P42,0)</f>
        <v>0</v>
      </c>
      <c r="CI42" s="726">
        <f>IF(AND(_xlfn.IFNA(MATCH($A42,Alternatives!$C$38:$C$57,0),0)&gt;0,_xlfn.IFNA(VLOOKUP($A42,Alternatives!$C$38:$H$57,6,0)="Yes",0)),$P42,0)</f>
        <v>0</v>
      </c>
      <c r="CJ42" s="726">
        <f>IF(AND(_xlfn.IFNA(MATCH($A42,Alternatives!$C$63:$C$82,0),0)&gt;0,_xlfn.IFNA(VLOOKUP($A42,Alternatives!$C$63:$H$82,6,0)="Yes",0)),$P42,0)</f>
        <v>0</v>
      </c>
      <c r="CK42" s="726">
        <f>IF(AND(_xlfn.IFNA(MATCH($A42,Alternatives!$C$88:$C$107,0),0)&gt;0,_xlfn.IFNA(VLOOKUP($A42,Alternatives!$C$88:$H$107,6,0)="Yes",0)),$P42,0)</f>
        <v>0</v>
      </c>
    </row>
    <row r="43" spans="1:89" s="104" customFormat="1" ht="42" customHeight="1" outlineLevel="1">
      <c r="A43" s="1106"/>
      <c r="B43" s="1097"/>
      <c r="C43" s="1098">
        <f t="shared" si="23"/>
        <v>0</v>
      </c>
      <c r="D43" s="351">
        <f t="shared" si="0"/>
        <v>0</v>
      </c>
      <c r="E43" s="595">
        <f>IF(B43='Drop Down Lists'!$AU$7,I43*Rate_NatGas+J43*Rate_Steam+K43*rate_util4+L43*Rate_Util5+M43*Rate_util6+H43*($I$75-$I$77),IF(OR(N43="Constant Demand",O43="Constant Annual"),D43,I43*Rate_NatGas+G43*Rate_EleckW+J43*Rate_Steam+K43*rate_util4+L43*Rate_Util5+M43*Rate_util6+IF(O43='Drop Down Lists'!$BB$2,$I$73*H43,IF(O43='Drop Down Lists'!$BB$3,$I$74*H43,IF(OR(N43='Drop Down Lists'!$BC$2,N43='Drop Down Lists'!$BC$4),$I$76*H43,IF(OR(N43='Drop Down Lists'!$BC$6,'Drop Down Lists'!$BC$8),$I$77*H43,IF(N43='Drop Down Lists'!$BC$5,$I$75*H43,$D$74*H43)))))))</f>
        <v>0</v>
      </c>
      <c r="F43" s="1105"/>
      <c r="G43" s="1099"/>
      <c r="H43" s="1099"/>
      <c r="I43" s="1099"/>
      <c r="J43" s="1100"/>
      <c r="K43" s="1100">
        <v>0</v>
      </c>
      <c r="L43" s="1100">
        <v>0</v>
      </c>
      <c r="M43" s="1100">
        <v>0</v>
      </c>
      <c r="N43" s="352"/>
      <c r="O43" s="352"/>
      <c r="P43" s="791">
        <f>IF(B43="Carbon Offsets",Q43/'Building Info &amp; Assumptions'!$B$119,H43*CO2_perEleckBTU*kBTUperKWH+I43*CO2_perNatGaskBTU*kBTUperTherm+J43*CO2_perSteamkBTU*kBTUperlbsSteam+K43*CO2_perUtil4kBTU*kBTUperUnit_Util4+L43*CO2_perUtil5kBTU*kBTUperUnit_Util5+M43*CO2_perUtil6kBTU*kBTUperUnit_Util6)</f>
        <v>0</v>
      </c>
      <c r="Q43" s="1101"/>
      <c r="R43" s="319">
        <f t="shared" si="1"/>
        <v>0</v>
      </c>
      <c r="S43" s="1101"/>
      <c r="T43" s="1102"/>
      <c r="U43" s="215">
        <f t="shared" ref="U43:U46" si="39">Q43-S43</f>
        <v>0</v>
      </c>
      <c r="V43" s="309">
        <f t="shared" ref="V43:V46" si="40">U43-SUM(AA43:AM43)</f>
        <v>0</v>
      </c>
      <c r="W43" s="216" t="str">
        <f t="shared" si="2"/>
        <v>N/A</v>
      </c>
      <c r="X43" s="246"/>
      <c r="Y43" s="15"/>
      <c r="Z43" s="371" t="e">
        <f>IF(OR(AND(#REF!&gt;0,H43&lt;0),AND(H43&gt;0,#REF!=0)),A43,"")</f>
        <v>#REF!</v>
      </c>
      <c r="AA43" s="1103">
        <f t="shared" ref="AA43:AA46" si="41">U43</f>
        <v>0</v>
      </c>
      <c r="AB43" s="1104">
        <f t="shared" si="35"/>
        <v>0</v>
      </c>
      <c r="AC43" s="1104">
        <f t="shared" si="35"/>
        <v>0</v>
      </c>
      <c r="AD43" s="1104">
        <f t="shared" si="35"/>
        <v>0</v>
      </c>
      <c r="AE43" s="1104">
        <f t="shared" si="35"/>
        <v>0</v>
      </c>
      <c r="AF43" s="1104">
        <f t="shared" si="35"/>
        <v>0</v>
      </c>
      <c r="AG43" s="1104">
        <f t="shared" si="35"/>
        <v>0</v>
      </c>
      <c r="AH43" s="1104">
        <f t="shared" si="35"/>
        <v>0</v>
      </c>
      <c r="AI43" s="1104">
        <f t="shared" si="35"/>
        <v>0</v>
      </c>
      <c r="AJ43" s="1104">
        <f t="shared" si="35"/>
        <v>0</v>
      </c>
      <c r="AK43" s="1104">
        <f t="shared" si="35"/>
        <v>0</v>
      </c>
      <c r="AL43" s="1104">
        <f t="shared" si="36"/>
        <v>0</v>
      </c>
      <c r="AM43" s="1104">
        <f t="shared" si="36"/>
        <v>0</v>
      </c>
      <c r="AN43" s="1104">
        <f t="shared" si="36"/>
        <v>0</v>
      </c>
      <c r="AO43" s="1104">
        <f t="shared" si="36"/>
        <v>0</v>
      </c>
      <c r="AP43" s="1104">
        <f t="shared" si="36"/>
        <v>0</v>
      </c>
      <c r="AQ43" s="1104">
        <f t="shared" si="36"/>
        <v>0</v>
      </c>
      <c r="AR43" s="1104">
        <f t="shared" si="36"/>
        <v>0</v>
      </c>
      <c r="AS43" s="1104">
        <f t="shared" si="36"/>
        <v>0</v>
      </c>
      <c r="AT43" s="1104">
        <f t="shared" si="36"/>
        <v>0</v>
      </c>
      <c r="AU43" s="1104">
        <f t="shared" si="36"/>
        <v>0</v>
      </c>
      <c r="AV43" s="730">
        <f>IFERROR((esc_elect*H43*kBTUperKWH+esc_gas*#REF!*kBTUperTherm+esc_steam*I43*kBTUperlbsSteam+#REF!*esc_chw*kBTUperUnit_Util4+J43*esc_hw*kBTUperUnit_Util5+K43*esc_oil*kBTUperUnit_Util6)/(H43*kBTUperKWH+#REF!*kBTUperTherm+I43*kBTUperlbsSteam+#REF!*kBTUperUnit_Util4+J43*kBTUperUnit_Util5+K43*kBTUperUnit_Util6),0)</f>
        <v>0</v>
      </c>
      <c r="AW43" s="397">
        <f t="shared" si="5"/>
        <v>0</v>
      </c>
      <c r="AX43" s="397">
        <f t="shared" si="6"/>
        <v>0</v>
      </c>
      <c r="AY43" s="397">
        <f t="shared" si="7"/>
        <v>0</v>
      </c>
      <c r="AZ43" s="397">
        <f t="shared" si="8"/>
        <v>0</v>
      </c>
      <c r="BA43" s="397">
        <f t="shared" si="9"/>
        <v>0</v>
      </c>
      <c r="BB43" s="397">
        <f t="shared" si="10"/>
        <v>0</v>
      </c>
      <c r="BC43" s="397">
        <f t="shared" si="11"/>
        <v>0</v>
      </c>
      <c r="BD43" s="397">
        <f t="shared" si="27"/>
        <v>0</v>
      </c>
      <c r="BE43" s="398">
        <f>BD43/'Building Info &amp; Assumptions'!$B$372</f>
        <v>0</v>
      </c>
      <c r="BF43" s="380"/>
      <c r="BG43" s="399">
        <f t="shared" si="12"/>
        <v>0</v>
      </c>
      <c r="BH43" s="399">
        <f t="shared" si="13"/>
        <v>0</v>
      </c>
      <c r="BI43" s="399">
        <f t="shared" si="14"/>
        <v>0</v>
      </c>
      <c r="BJ43" s="399">
        <f t="shared" si="15"/>
        <v>0</v>
      </c>
      <c r="BK43" s="399">
        <f t="shared" si="16"/>
        <v>0</v>
      </c>
      <c r="BL43" s="399">
        <f t="shared" si="17"/>
        <v>0</v>
      </c>
      <c r="BM43" s="399">
        <f t="shared" si="18"/>
        <v>0</v>
      </c>
      <c r="BN43" s="375"/>
      <c r="BO43" s="399">
        <f>IF(OR(N43="Constant Demand",O43="Constant Annual"),D43,$D$77*H43+IF(O43='Drop Down Lists'!$BB$2,$I$73*H43,IF(O43='Drop Down Lists'!$BB$4,$I$74*H43,IF(OR(N43='Drop Down Lists'!$BC$2,N43='Drop Down Lists'!$BC$4),$I$76*H43,IF(OR(N43='Drop Down Lists'!$BC$6,'Drop Down Lists'!$BC$8),$I$77*H43,IF(N43='Drop Down Lists'!$BC$5,$I$75*H43,$D$74*H43))))))</f>
        <v>0</v>
      </c>
      <c r="BP43" s="399">
        <f t="shared" si="19"/>
        <v>0</v>
      </c>
      <c r="BQ43" s="375"/>
      <c r="BR43" s="586">
        <f t="shared" si="20"/>
        <v>0</v>
      </c>
      <c r="BS43" s="401">
        <f t="shared" si="21"/>
        <v>0</v>
      </c>
      <c r="BT43" s="375"/>
      <c r="BU43" s="722" t="e">
        <f>VLOOKUP('Narrative &amp; Measures'!$A43,Alternatives!$C$15:$I$17,7,FALSE)</f>
        <v>#N/A</v>
      </c>
      <c r="BV43" s="722" t="e">
        <f>VLOOKUP('Narrative &amp; Measures'!$A43,Alternatives!$C$38:$I$57,7,FALSE)</f>
        <v>#N/A</v>
      </c>
      <c r="BW43" s="722" t="e">
        <f>VLOOKUP('Narrative &amp; Measures'!$A43,Alternatives!$C$63:$I$82,7,FALSE)</f>
        <v>#N/A</v>
      </c>
      <c r="BX43" s="722" t="e">
        <f>VLOOKUP('Narrative &amp; Measures'!$A43,Alternatives!$C$88:$I$107,7,FALSE)</f>
        <v>#N/A</v>
      </c>
      <c r="BY43" s="479"/>
      <c r="BZ43" s="723" t="e">
        <f t="shared" ref="BZ43:BZ46" si="42">BV43+$T43</f>
        <v>#N/A</v>
      </c>
      <c r="CA43" s="723" t="e">
        <f t="shared" ref="CA43:CA46" si="43">BW43+$T43</f>
        <v>#N/A</v>
      </c>
      <c r="CB43" s="723" t="e">
        <f t="shared" ref="CB43:CB46" si="44">BX43+$T43</f>
        <v>#N/A</v>
      </c>
      <c r="CC43" s="722" t="e">
        <f t="shared" si="31"/>
        <v>#N/A</v>
      </c>
      <c r="CD43" s="722" t="e">
        <f t="shared" si="32"/>
        <v>#N/A</v>
      </c>
      <c r="CE43" s="722" t="e">
        <f t="shared" si="33"/>
        <v>#N/A</v>
      </c>
      <c r="CF43" s="722" t="e">
        <f t="shared" si="34"/>
        <v>#N/A</v>
      </c>
      <c r="CH43" s="726">
        <f>IF(AND(OR(B43="Deferred Maintenance",B43="Immediate Repairs: Life Safety and Critical"),_xlfn.IFNA(MATCH($A43,Alternatives!$C$15:$C$17,0),0)&gt;0,_xlfn.IFNA(VLOOKUP($A43,Alternatives!$C$15:$H$17,6,0)="Yes",0)),$P43,0)</f>
        <v>0</v>
      </c>
      <c r="CI43" s="726">
        <f>IF(AND(_xlfn.IFNA(MATCH($A43,Alternatives!$C$38:$C$57,0),0)&gt;0,_xlfn.IFNA(VLOOKUP($A43,Alternatives!$C$38:$H$57,6,0)="Yes",0)),$P43,0)</f>
        <v>0</v>
      </c>
      <c r="CJ43" s="726">
        <f>IF(AND(_xlfn.IFNA(MATCH($A43,Alternatives!$C$63:$C$82,0),0)&gt;0,_xlfn.IFNA(VLOOKUP($A43,Alternatives!$C$63:$H$82,6,0)="Yes",0)),$P43,0)</f>
        <v>0</v>
      </c>
      <c r="CK43" s="726">
        <f>IF(AND(_xlfn.IFNA(MATCH($A43,Alternatives!$C$88:$C$107,0),0)&gt;0,_xlfn.IFNA(VLOOKUP($A43,Alternatives!$C$88:$H$107,6,0)="Yes",0)),$P43,0)</f>
        <v>0</v>
      </c>
    </row>
    <row r="44" spans="1:89" s="104" customFormat="1" ht="42" customHeight="1" outlineLevel="1">
      <c r="A44" s="1106"/>
      <c r="B44" s="1097"/>
      <c r="C44" s="1098">
        <f t="shared" si="23"/>
        <v>0</v>
      </c>
      <c r="D44" s="351">
        <f t="shared" si="0"/>
        <v>0</v>
      </c>
      <c r="E44" s="595">
        <f>IF(B44='Drop Down Lists'!$AU$7,I44*Rate_NatGas+J44*Rate_Steam+K44*rate_util4+L44*Rate_Util5+M44*Rate_util6+H44*($I$75-$I$77),IF(OR(N44="Constant Demand",O44="Constant Annual"),D44,I44*Rate_NatGas+G44*Rate_EleckW+J44*Rate_Steam+K44*rate_util4+L44*Rate_Util5+M44*Rate_util6+IF(O44='Drop Down Lists'!$BB$2,$I$73*H44,IF(O44='Drop Down Lists'!$BB$3,$I$74*H44,IF(OR(N44='Drop Down Lists'!$BC$2,N44='Drop Down Lists'!$BC$4),$I$76*H44,IF(OR(N44='Drop Down Lists'!$BC$6,'Drop Down Lists'!$BC$8),$I$77*H44,IF(N44='Drop Down Lists'!$BC$5,$I$75*H44,$D$74*H44)))))))</f>
        <v>0</v>
      </c>
      <c r="F44" s="1105"/>
      <c r="G44" s="1099"/>
      <c r="H44" s="1099"/>
      <c r="I44" s="1099"/>
      <c r="J44" s="1100"/>
      <c r="K44" s="1100">
        <v>0</v>
      </c>
      <c r="L44" s="1100">
        <v>0</v>
      </c>
      <c r="M44" s="1100">
        <v>0</v>
      </c>
      <c r="N44" s="352"/>
      <c r="O44" s="352"/>
      <c r="P44" s="791">
        <f>IF(B44="Carbon Offsets",Q44/'Building Info &amp; Assumptions'!$B$119,H44*CO2_perEleckBTU*kBTUperKWH+I44*CO2_perNatGaskBTU*kBTUperTherm+J44*CO2_perSteamkBTU*kBTUperlbsSteam+K44*CO2_perUtil4kBTU*kBTUperUnit_Util4+L44*CO2_perUtil5kBTU*kBTUperUnit_Util5+M44*CO2_perUtil6kBTU*kBTUperUnit_Util6)</f>
        <v>0</v>
      </c>
      <c r="Q44" s="1101"/>
      <c r="R44" s="319">
        <f t="shared" si="1"/>
        <v>0</v>
      </c>
      <c r="S44" s="1101"/>
      <c r="T44" s="1102"/>
      <c r="U44" s="215">
        <f t="shared" si="39"/>
        <v>0</v>
      </c>
      <c r="V44" s="309">
        <f t="shared" si="40"/>
        <v>0</v>
      </c>
      <c r="W44" s="216" t="str">
        <f t="shared" si="2"/>
        <v>N/A</v>
      </c>
      <c r="X44" s="246"/>
      <c r="Y44" s="15"/>
      <c r="Z44" s="371" t="e">
        <f>IF(OR(AND(#REF!&gt;0,H44&lt;0),AND(H44&gt;0,#REF!=0)),A44,"")</f>
        <v>#REF!</v>
      </c>
      <c r="AA44" s="1103">
        <f t="shared" si="41"/>
        <v>0</v>
      </c>
      <c r="AB44" s="1104">
        <f t="shared" si="35"/>
        <v>0</v>
      </c>
      <c r="AC44" s="1104">
        <f t="shared" si="35"/>
        <v>0</v>
      </c>
      <c r="AD44" s="1104">
        <f t="shared" si="35"/>
        <v>0</v>
      </c>
      <c r="AE44" s="1104">
        <f t="shared" si="35"/>
        <v>0</v>
      </c>
      <c r="AF44" s="1104">
        <f t="shared" si="35"/>
        <v>0</v>
      </c>
      <c r="AG44" s="1104">
        <f t="shared" si="35"/>
        <v>0</v>
      </c>
      <c r="AH44" s="1104">
        <f t="shared" si="35"/>
        <v>0</v>
      </c>
      <c r="AI44" s="1104">
        <f t="shared" si="35"/>
        <v>0</v>
      </c>
      <c r="AJ44" s="1104">
        <f t="shared" si="35"/>
        <v>0</v>
      </c>
      <c r="AK44" s="1104">
        <f t="shared" si="35"/>
        <v>0</v>
      </c>
      <c r="AL44" s="1104">
        <f t="shared" si="36"/>
        <v>0</v>
      </c>
      <c r="AM44" s="1104">
        <f t="shared" si="36"/>
        <v>0</v>
      </c>
      <c r="AN44" s="1104">
        <f t="shared" si="36"/>
        <v>0</v>
      </c>
      <c r="AO44" s="1104">
        <f t="shared" si="36"/>
        <v>0</v>
      </c>
      <c r="AP44" s="1104">
        <f t="shared" si="36"/>
        <v>0</v>
      </c>
      <c r="AQ44" s="1104">
        <f t="shared" si="36"/>
        <v>0</v>
      </c>
      <c r="AR44" s="1104">
        <f t="shared" si="36"/>
        <v>0</v>
      </c>
      <c r="AS44" s="1104">
        <f t="shared" si="36"/>
        <v>0</v>
      </c>
      <c r="AT44" s="1104">
        <f t="shared" si="36"/>
        <v>0</v>
      </c>
      <c r="AU44" s="1104">
        <f t="shared" si="36"/>
        <v>0</v>
      </c>
      <c r="AV44" s="730">
        <f>IFERROR((esc_elect*H44*kBTUperKWH+esc_gas*#REF!*kBTUperTherm+esc_steam*I44*kBTUperlbsSteam+#REF!*esc_chw*kBTUperUnit_Util4+J44*esc_hw*kBTUperUnit_Util5+K44*esc_oil*kBTUperUnit_Util6)/(H44*kBTUperKWH+#REF!*kBTUperTherm+I44*kBTUperlbsSteam+#REF!*kBTUperUnit_Util4+J44*kBTUperUnit_Util5+K44*kBTUperUnit_Util6),0)</f>
        <v>0</v>
      </c>
      <c r="AW44" s="397">
        <f t="shared" si="5"/>
        <v>0</v>
      </c>
      <c r="AX44" s="397">
        <f t="shared" si="6"/>
        <v>0</v>
      </c>
      <c r="AY44" s="397">
        <f t="shared" si="7"/>
        <v>0</v>
      </c>
      <c r="AZ44" s="397">
        <f t="shared" si="8"/>
        <v>0</v>
      </c>
      <c r="BA44" s="397">
        <f t="shared" si="9"/>
        <v>0</v>
      </c>
      <c r="BB44" s="397">
        <f t="shared" si="10"/>
        <v>0</v>
      </c>
      <c r="BC44" s="397">
        <f t="shared" si="11"/>
        <v>0</v>
      </c>
      <c r="BD44" s="397">
        <f t="shared" si="27"/>
        <v>0</v>
      </c>
      <c r="BE44" s="398">
        <f>BD44/'Building Info &amp; Assumptions'!$B$372</f>
        <v>0</v>
      </c>
      <c r="BF44" s="380"/>
      <c r="BG44" s="399">
        <f t="shared" si="12"/>
        <v>0</v>
      </c>
      <c r="BH44" s="399">
        <f t="shared" si="13"/>
        <v>0</v>
      </c>
      <c r="BI44" s="399">
        <f t="shared" si="14"/>
        <v>0</v>
      </c>
      <c r="BJ44" s="399">
        <f t="shared" si="15"/>
        <v>0</v>
      </c>
      <c r="BK44" s="399">
        <f t="shared" si="16"/>
        <v>0</v>
      </c>
      <c r="BL44" s="399">
        <f t="shared" si="17"/>
        <v>0</v>
      </c>
      <c r="BM44" s="399">
        <f t="shared" si="18"/>
        <v>0</v>
      </c>
      <c r="BN44" s="375"/>
      <c r="BO44" s="399">
        <f>IF(OR(N44="Constant Demand",O44="Constant Annual"),D44,$D$77*H44+IF(O44='Drop Down Lists'!$BB$2,$I$73*H44,IF(O44='Drop Down Lists'!$BB$4,$I$74*H44,IF(OR(N44='Drop Down Lists'!$BC$2,N44='Drop Down Lists'!$BC$4),$I$76*H44,IF(OR(N44='Drop Down Lists'!$BC$6,'Drop Down Lists'!$BC$8),$I$77*H44,IF(N44='Drop Down Lists'!$BC$5,$I$75*H44,$D$74*H44))))))</f>
        <v>0</v>
      </c>
      <c r="BP44" s="399">
        <f t="shared" si="19"/>
        <v>0</v>
      </c>
      <c r="BQ44" s="375"/>
      <c r="BR44" s="586">
        <f t="shared" si="20"/>
        <v>0</v>
      </c>
      <c r="BS44" s="401">
        <f t="shared" si="21"/>
        <v>0</v>
      </c>
      <c r="BT44" s="375"/>
      <c r="BU44" s="722" t="e">
        <f>VLOOKUP('Narrative &amp; Measures'!$A44,Alternatives!$C$15:$I$17,7,FALSE)</f>
        <v>#N/A</v>
      </c>
      <c r="BV44" s="722" t="e">
        <f>VLOOKUP('Narrative &amp; Measures'!$A44,Alternatives!$C$38:$I$57,7,FALSE)</f>
        <v>#N/A</v>
      </c>
      <c r="BW44" s="722" t="e">
        <f>VLOOKUP('Narrative &amp; Measures'!$A44,Alternatives!$C$63:$I$82,7,FALSE)</f>
        <v>#N/A</v>
      </c>
      <c r="BX44" s="722" t="e">
        <f>VLOOKUP('Narrative &amp; Measures'!$A44,Alternatives!$C$88:$I$107,7,FALSE)</f>
        <v>#N/A</v>
      </c>
      <c r="BY44" s="479"/>
      <c r="BZ44" s="723" t="e">
        <f t="shared" si="42"/>
        <v>#N/A</v>
      </c>
      <c r="CA44" s="723" t="e">
        <f t="shared" si="43"/>
        <v>#N/A</v>
      </c>
      <c r="CB44" s="723" t="e">
        <f t="shared" si="44"/>
        <v>#N/A</v>
      </c>
      <c r="CC44" s="722" t="e">
        <f t="shared" si="31"/>
        <v>#N/A</v>
      </c>
      <c r="CD44" s="722" t="e">
        <f t="shared" si="32"/>
        <v>#N/A</v>
      </c>
      <c r="CE44" s="722" t="e">
        <f t="shared" si="33"/>
        <v>#N/A</v>
      </c>
      <c r="CF44" s="722" t="e">
        <f t="shared" si="34"/>
        <v>#N/A</v>
      </c>
      <c r="CH44" s="726">
        <f>IF(AND(OR(B44="Deferred Maintenance",B44="Immediate Repairs: Life Safety and Critical"),_xlfn.IFNA(MATCH($A44,Alternatives!$C$15:$C$17,0),0)&gt;0,_xlfn.IFNA(VLOOKUP($A44,Alternatives!$C$15:$H$17,6,0)="Yes",0)),$P44,0)</f>
        <v>0</v>
      </c>
      <c r="CI44" s="726">
        <f>IF(AND(_xlfn.IFNA(MATCH($A44,Alternatives!$C$38:$C$57,0),0)&gt;0,_xlfn.IFNA(VLOOKUP($A44,Alternatives!$C$38:$H$57,6,0)="Yes",0)),$P44,0)</f>
        <v>0</v>
      </c>
      <c r="CJ44" s="726">
        <f>IF(AND(_xlfn.IFNA(MATCH($A44,Alternatives!$C$63:$C$82,0),0)&gt;0,_xlfn.IFNA(VLOOKUP($A44,Alternatives!$C$63:$H$82,6,0)="Yes",0)),$P44,0)</f>
        <v>0</v>
      </c>
      <c r="CK44" s="726">
        <f>IF(AND(_xlfn.IFNA(MATCH($A44,Alternatives!$C$88:$C$107,0),0)&gt;0,_xlfn.IFNA(VLOOKUP($A44,Alternatives!$C$88:$H$107,6,0)="Yes",0)),$P44,0)</f>
        <v>0</v>
      </c>
    </row>
    <row r="45" spans="1:89" s="104" customFormat="1" ht="42" customHeight="1" outlineLevel="1">
      <c r="A45" s="1107"/>
      <c r="B45" s="1097"/>
      <c r="C45" s="1098">
        <f t="shared" si="23"/>
        <v>0</v>
      </c>
      <c r="D45" s="351">
        <f t="shared" si="0"/>
        <v>0</v>
      </c>
      <c r="E45" s="595">
        <f>IF(B45='Drop Down Lists'!$AU$7,I45*Rate_NatGas+J45*Rate_Steam+K45*rate_util4+L45*Rate_Util5+M45*Rate_util6+H45*($I$75-$I$77),IF(OR(N45="Constant Demand",O45="Constant Annual"),D45,I45*Rate_NatGas+G45*Rate_EleckW+J45*Rate_Steam+K45*rate_util4+L45*Rate_Util5+M45*Rate_util6+IF(O45='Drop Down Lists'!$BB$2,$I$73*H45,IF(O45='Drop Down Lists'!$BB$3,$I$74*H45,IF(OR(N45='Drop Down Lists'!$BC$2,N45='Drop Down Lists'!$BC$4),$I$76*H45,IF(OR(N45='Drop Down Lists'!$BC$6,'Drop Down Lists'!$BC$8),$I$77*H45,IF(N45='Drop Down Lists'!$BC$5,$I$75*H45,$D$74*H45)))))))</f>
        <v>0</v>
      </c>
      <c r="F45" s="1105"/>
      <c r="G45" s="1099"/>
      <c r="H45" s="1099"/>
      <c r="I45" s="1099"/>
      <c r="J45" s="1100"/>
      <c r="K45" s="1100">
        <v>0</v>
      </c>
      <c r="L45" s="1100">
        <v>0</v>
      </c>
      <c r="M45" s="1100">
        <v>0</v>
      </c>
      <c r="N45" s="352"/>
      <c r="O45" s="352"/>
      <c r="P45" s="791">
        <f>IF(B45="Carbon Offsets",Q45/'Building Info &amp; Assumptions'!$B$119,H45*CO2_perEleckBTU*kBTUperKWH+I45*CO2_perNatGaskBTU*kBTUperTherm+J45*CO2_perSteamkBTU*kBTUperlbsSteam+K45*CO2_perUtil4kBTU*kBTUperUnit_Util4+L45*CO2_perUtil5kBTU*kBTUperUnit_Util5+M45*CO2_perUtil6kBTU*kBTUperUnit_Util6)</f>
        <v>0</v>
      </c>
      <c r="Q45" s="1101"/>
      <c r="R45" s="319">
        <f t="shared" si="1"/>
        <v>0</v>
      </c>
      <c r="S45" s="1101"/>
      <c r="T45" s="1102"/>
      <c r="U45" s="215">
        <f t="shared" si="39"/>
        <v>0</v>
      </c>
      <c r="V45" s="309">
        <f t="shared" si="40"/>
        <v>0</v>
      </c>
      <c r="W45" s="216" t="str">
        <f t="shared" si="2"/>
        <v>N/A</v>
      </c>
      <c r="X45" s="246"/>
      <c r="Y45" s="15"/>
      <c r="Z45" s="371" t="e">
        <f>IF(OR(AND(#REF!&gt;0,H45&lt;0),AND(H45&gt;0,#REF!=0)),A45,"")</f>
        <v>#REF!</v>
      </c>
      <c r="AA45" s="1103">
        <f t="shared" si="41"/>
        <v>0</v>
      </c>
      <c r="AB45" s="1104">
        <f t="shared" si="35"/>
        <v>0</v>
      </c>
      <c r="AC45" s="1104">
        <f t="shared" si="35"/>
        <v>0</v>
      </c>
      <c r="AD45" s="1104">
        <f t="shared" si="35"/>
        <v>0</v>
      </c>
      <c r="AE45" s="1104">
        <f t="shared" si="35"/>
        <v>0</v>
      </c>
      <c r="AF45" s="1104">
        <f t="shared" si="35"/>
        <v>0</v>
      </c>
      <c r="AG45" s="1104">
        <f t="shared" si="35"/>
        <v>0</v>
      </c>
      <c r="AH45" s="1104">
        <f t="shared" si="35"/>
        <v>0</v>
      </c>
      <c r="AI45" s="1104">
        <f t="shared" si="35"/>
        <v>0</v>
      </c>
      <c r="AJ45" s="1104">
        <f t="shared" si="35"/>
        <v>0</v>
      </c>
      <c r="AK45" s="1104">
        <f t="shared" si="35"/>
        <v>0</v>
      </c>
      <c r="AL45" s="1104">
        <f t="shared" si="36"/>
        <v>0</v>
      </c>
      <c r="AM45" s="1104">
        <f t="shared" si="36"/>
        <v>0</v>
      </c>
      <c r="AN45" s="1104">
        <f t="shared" si="36"/>
        <v>0</v>
      </c>
      <c r="AO45" s="1104">
        <f t="shared" si="36"/>
        <v>0</v>
      </c>
      <c r="AP45" s="1104">
        <f t="shared" si="36"/>
        <v>0</v>
      </c>
      <c r="AQ45" s="1104">
        <f t="shared" si="36"/>
        <v>0</v>
      </c>
      <c r="AR45" s="1104">
        <f t="shared" si="36"/>
        <v>0</v>
      </c>
      <c r="AS45" s="1104">
        <f t="shared" si="36"/>
        <v>0</v>
      </c>
      <c r="AT45" s="1104">
        <f t="shared" si="36"/>
        <v>0</v>
      </c>
      <c r="AU45" s="1104">
        <f t="shared" si="36"/>
        <v>0</v>
      </c>
      <c r="AV45" s="730">
        <f>IFERROR((esc_elect*H45*kBTUperKWH+esc_gas*#REF!*kBTUperTherm+esc_steam*I45*kBTUperlbsSteam+#REF!*esc_chw*kBTUperUnit_Util4+J45*esc_hw*kBTUperUnit_Util5+K45*esc_oil*kBTUperUnit_Util6)/(H45*kBTUperKWH+#REF!*kBTUperTherm+I45*kBTUperlbsSteam+#REF!*kBTUperUnit_Util4+J45*kBTUperUnit_Util5+K45*kBTUperUnit_Util6),0)</f>
        <v>0</v>
      </c>
      <c r="AW45" s="397">
        <f t="shared" si="5"/>
        <v>0</v>
      </c>
      <c r="AX45" s="397">
        <f t="shared" si="6"/>
        <v>0</v>
      </c>
      <c r="AY45" s="397">
        <f t="shared" si="7"/>
        <v>0</v>
      </c>
      <c r="AZ45" s="397">
        <f t="shared" si="8"/>
        <v>0</v>
      </c>
      <c r="BA45" s="397">
        <f t="shared" si="9"/>
        <v>0</v>
      </c>
      <c r="BB45" s="397">
        <f t="shared" si="10"/>
        <v>0</v>
      </c>
      <c r="BC45" s="397">
        <f t="shared" si="11"/>
        <v>0</v>
      </c>
      <c r="BD45" s="397">
        <f t="shared" si="27"/>
        <v>0</v>
      </c>
      <c r="BE45" s="398">
        <f>BD45/'Building Info &amp; Assumptions'!$B$372</f>
        <v>0</v>
      </c>
      <c r="BF45" s="380"/>
      <c r="BG45" s="399">
        <f t="shared" si="12"/>
        <v>0</v>
      </c>
      <c r="BH45" s="399">
        <f t="shared" si="13"/>
        <v>0</v>
      </c>
      <c r="BI45" s="399">
        <f t="shared" si="14"/>
        <v>0</v>
      </c>
      <c r="BJ45" s="399">
        <f t="shared" si="15"/>
        <v>0</v>
      </c>
      <c r="BK45" s="399">
        <f t="shared" si="16"/>
        <v>0</v>
      </c>
      <c r="BL45" s="399">
        <f t="shared" si="17"/>
        <v>0</v>
      </c>
      <c r="BM45" s="399">
        <f t="shared" si="18"/>
        <v>0</v>
      </c>
      <c r="BN45" s="375"/>
      <c r="BO45" s="399">
        <f>IF(OR(N45="Constant Demand",O45="Constant Annual"),D45,$D$77*H45+IF(O45='Drop Down Lists'!$BB$2,$I$73*H45,IF(O45='Drop Down Lists'!$BB$4,$I$74*H45,IF(OR(N45='Drop Down Lists'!$BC$2,N45='Drop Down Lists'!$BC$4),$I$76*H45,IF(OR(N45='Drop Down Lists'!$BC$6,'Drop Down Lists'!$BC$8),$I$77*H45,IF(N45='Drop Down Lists'!$BC$5,$I$75*H45,$D$74*H45))))))</f>
        <v>0</v>
      </c>
      <c r="BP45" s="399">
        <f t="shared" si="19"/>
        <v>0</v>
      </c>
      <c r="BQ45" s="375"/>
      <c r="BR45" s="586">
        <f t="shared" si="20"/>
        <v>0</v>
      </c>
      <c r="BS45" s="401">
        <f t="shared" si="21"/>
        <v>0</v>
      </c>
      <c r="BT45" s="375"/>
      <c r="BU45" s="722" t="e">
        <f>VLOOKUP('Narrative &amp; Measures'!$A45,Alternatives!$C$15:$I$17,7,FALSE)</f>
        <v>#N/A</v>
      </c>
      <c r="BV45" s="722" t="e">
        <f>VLOOKUP('Narrative &amp; Measures'!$A45,Alternatives!$C$38:$I$57,7,FALSE)</f>
        <v>#N/A</v>
      </c>
      <c r="BW45" s="722" t="e">
        <f>VLOOKUP('Narrative &amp; Measures'!$A45,Alternatives!$C$63:$I$82,7,FALSE)</f>
        <v>#N/A</v>
      </c>
      <c r="BX45" s="722" t="e">
        <f>VLOOKUP('Narrative &amp; Measures'!$A45,Alternatives!$C$88:$I$107,7,FALSE)</f>
        <v>#N/A</v>
      </c>
      <c r="BY45" s="479"/>
      <c r="BZ45" s="723" t="e">
        <f t="shared" si="42"/>
        <v>#N/A</v>
      </c>
      <c r="CA45" s="723" t="e">
        <f t="shared" si="43"/>
        <v>#N/A</v>
      </c>
      <c r="CB45" s="723" t="e">
        <f t="shared" si="44"/>
        <v>#N/A</v>
      </c>
      <c r="CC45" s="722" t="e">
        <f t="shared" si="31"/>
        <v>#N/A</v>
      </c>
      <c r="CD45" s="722" t="e">
        <f t="shared" si="32"/>
        <v>#N/A</v>
      </c>
      <c r="CE45" s="722" t="e">
        <f t="shared" si="33"/>
        <v>#N/A</v>
      </c>
      <c r="CF45" s="722" t="e">
        <f t="shared" si="34"/>
        <v>#N/A</v>
      </c>
      <c r="CH45" s="726">
        <f>IF(AND(OR(B45="Deferred Maintenance",B45="Immediate Repairs: Life Safety and Critical"),_xlfn.IFNA(MATCH($A45,Alternatives!$C$15:$C$17,0),0)&gt;0,_xlfn.IFNA(VLOOKUP($A45,Alternatives!$C$15:$H$17,6,0)="Yes",0)),$P45,0)</f>
        <v>0</v>
      </c>
      <c r="CI45" s="726">
        <f>IF(AND(_xlfn.IFNA(MATCH($A45,Alternatives!$C$38:$C$57,0),0)&gt;0,_xlfn.IFNA(VLOOKUP($A45,Alternatives!$C$38:$H$57,6,0)="Yes",0)),$P45,0)</f>
        <v>0</v>
      </c>
      <c r="CJ45" s="726">
        <f>IF(AND(_xlfn.IFNA(MATCH($A45,Alternatives!$C$63:$C$82,0),0)&gt;0,_xlfn.IFNA(VLOOKUP($A45,Alternatives!$C$63:$H$82,6,0)="Yes",0)),$P45,0)</f>
        <v>0</v>
      </c>
      <c r="CK45" s="726">
        <f>IF(AND(_xlfn.IFNA(MATCH($A45,Alternatives!$C$88:$C$107,0),0)&gt;0,_xlfn.IFNA(VLOOKUP($A45,Alternatives!$C$88:$H$107,6,0)="Yes",0)),$P45,0)</f>
        <v>0</v>
      </c>
    </row>
    <row r="46" spans="1:89" s="104" customFormat="1" ht="42" customHeight="1" outlineLevel="1">
      <c r="A46" s="1106"/>
      <c r="B46" s="1097"/>
      <c r="C46" s="1098">
        <f t="shared" si="23"/>
        <v>0</v>
      </c>
      <c r="D46" s="351">
        <f t="shared" si="0"/>
        <v>0</v>
      </c>
      <c r="E46" s="595">
        <f>IF(B46='Drop Down Lists'!$AU$7,I46*Rate_NatGas+J46*Rate_Steam+K46*rate_util4+L46*Rate_Util5+M46*Rate_util6+H46*($I$75-$I$77),IF(OR(N46="Constant Demand",O46="Constant Annual"),D46,I46*Rate_NatGas+G46*Rate_EleckW+J46*Rate_Steam+K46*rate_util4+L46*Rate_Util5+M46*Rate_util6+IF(O46='Drop Down Lists'!$BB$2,$I$73*H46,IF(O46='Drop Down Lists'!$BB$3,$I$74*H46,IF(OR(N46='Drop Down Lists'!$BC$2,N46='Drop Down Lists'!$BC$4),$I$76*H46,IF(OR(N46='Drop Down Lists'!$BC$6,'Drop Down Lists'!$BC$8),$I$77*H46,IF(N46='Drop Down Lists'!$BC$5,$I$75*H46,$D$74*H46)))))))</f>
        <v>0</v>
      </c>
      <c r="F46" s="1105"/>
      <c r="G46" s="1099"/>
      <c r="H46" s="1099"/>
      <c r="I46" s="1099"/>
      <c r="J46" s="1100"/>
      <c r="K46" s="1100">
        <v>0</v>
      </c>
      <c r="L46" s="1100">
        <v>0</v>
      </c>
      <c r="M46" s="1100">
        <v>0</v>
      </c>
      <c r="N46" s="352"/>
      <c r="O46" s="352"/>
      <c r="P46" s="791">
        <f>IF(B46="Carbon Offsets",Q46/'Building Info &amp; Assumptions'!$B$119,H46*CO2_perEleckBTU*kBTUperKWH+I46*CO2_perNatGaskBTU*kBTUperTherm+J46*CO2_perSteamkBTU*kBTUperlbsSteam+K46*CO2_perUtil4kBTU*kBTUperUnit_Util4+L46*CO2_perUtil5kBTU*kBTUperUnit_Util5+M46*CO2_perUtil6kBTU*kBTUperUnit_Util6)</f>
        <v>0</v>
      </c>
      <c r="Q46" s="1101"/>
      <c r="R46" s="319">
        <f t="shared" si="1"/>
        <v>0</v>
      </c>
      <c r="S46" s="1101"/>
      <c r="T46" s="1102"/>
      <c r="U46" s="215">
        <f t="shared" si="39"/>
        <v>0</v>
      </c>
      <c r="V46" s="309">
        <f t="shared" si="40"/>
        <v>0</v>
      </c>
      <c r="W46" s="216" t="str">
        <f t="shared" si="2"/>
        <v>N/A</v>
      </c>
      <c r="X46" s="246"/>
      <c r="Y46" s="15"/>
      <c r="Z46" s="371" t="e">
        <f>IF(OR(AND(#REF!&gt;0,H46&lt;0),AND(H46&gt;0,#REF!=0)),A46,"")</f>
        <v>#REF!</v>
      </c>
      <c r="AA46" s="1103">
        <f t="shared" si="41"/>
        <v>0</v>
      </c>
      <c r="AB46" s="1104">
        <f t="shared" si="35"/>
        <v>0</v>
      </c>
      <c r="AC46" s="1104">
        <f t="shared" si="35"/>
        <v>0</v>
      </c>
      <c r="AD46" s="1104">
        <f t="shared" si="35"/>
        <v>0</v>
      </c>
      <c r="AE46" s="1104">
        <f t="shared" si="35"/>
        <v>0</v>
      </c>
      <c r="AF46" s="1104">
        <f t="shared" si="35"/>
        <v>0</v>
      </c>
      <c r="AG46" s="1104">
        <f t="shared" si="35"/>
        <v>0</v>
      </c>
      <c r="AH46" s="1104">
        <f t="shared" si="35"/>
        <v>0</v>
      </c>
      <c r="AI46" s="1104">
        <f t="shared" si="35"/>
        <v>0</v>
      </c>
      <c r="AJ46" s="1104">
        <f t="shared" si="35"/>
        <v>0</v>
      </c>
      <c r="AK46" s="1104">
        <f t="shared" si="35"/>
        <v>0</v>
      </c>
      <c r="AL46" s="1104">
        <f t="shared" si="36"/>
        <v>0</v>
      </c>
      <c r="AM46" s="1104">
        <f t="shared" si="36"/>
        <v>0</v>
      </c>
      <c r="AN46" s="1104">
        <f t="shared" si="36"/>
        <v>0</v>
      </c>
      <c r="AO46" s="1104">
        <f t="shared" si="36"/>
        <v>0</v>
      </c>
      <c r="AP46" s="1104">
        <f t="shared" si="36"/>
        <v>0</v>
      </c>
      <c r="AQ46" s="1104">
        <f t="shared" si="36"/>
        <v>0</v>
      </c>
      <c r="AR46" s="1104">
        <f t="shared" si="36"/>
        <v>0</v>
      </c>
      <c r="AS46" s="1104">
        <f t="shared" si="36"/>
        <v>0</v>
      </c>
      <c r="AT46" s="1104">
        <f t="shared" si="36"/>
        <v>0</v>
      </c>
      <c r="AU46" s="1104">
        <f t="shared" si="36"/>
        <v>0</v>
      </c>
      <c r="AV46" s="730">
        <f>IFERROR((esc_elect*H46*kBTUperKWH+esc_gas*#REF!*kBTUperTherm+esc_steam*I46*kBTUperlbsSteam+#REF!*esc_chw*kBTUperUnit_Util4+J46*esc_hw*kBTUperUnit_Util5+K46*esc_oil*kBTUperUnit_Util6)/(H46*kBTUperKWH+#REF!*kBTUperTherm+I46*kBTUperlbsSteam+#REF!*kBTUperUnit_Util4+J46*kBTUperUnit_Util5+K46*kBTUperUnit_Util6),0)</f>
        <v>0</v>
      </c>
      <c r="AW46" s="397">
        <f t="shared" si="5"/>
        <v>0</v>
      </c>
      <c r="AX46" s="397">
        <f t="shared" si="6"/>
        <v>0</v>
      </c>
      <c r="AY46" s="397">
        <f t="shared" si="7"/>
        <v>0</v>
      </c>
      <c r="AZ46" s="397">
        <f t="shared" si="8"/>
        <v>0</v>
      </c>
      <c r="BA46" s="397">
        <f t="shared" si="9"/>
        <v>0</v>
      </c>
      <c r="BB46" s="397">
        <f t="shared" si="10"/>
        <v>0</v>
      </c>
      <c r="BC46" s="397">
        <f t="shared" si="11"/>
        <v>0</v>
      </c>
      <c r="BD46" s="397">
        <f t="shared" si="27"/>
        <v>0</v>
      </c>
      <c r="BE46" s="398">
        <f>BD46/'Building Info &amp; Assumptions'!$B$372</f>
        <v>0</v>
      </c>
      <c r="BF46" s="380"/>
      <c r="BG46" s="399">
        <f t="shared" si="12"/>
        <v>0</v>
      </c>
      <c r="BH46" s="399">
        <f t="shared" si="13"/>
        <v>0</v>
      </c>
      <c r="BI46" s="399">
        <f t="shared" si="14"/>
        <v>0</v>
      </c>
      <c r="BJ46" s="399">
        <f t="shared" si="15"/>
        <v>0</v>
      </c>
      <c r="BK46" s="399">
        <f t="shared" si="16"/>
        <v>0</v>
      </c>
      <c r="BL46" s="399">
        <f t="shared" si="17"/>
        <v>0</v>
      </c>
      <c r="BM46" s="399">
        <f t="shared" si="18"/>
        <v>0</v>
      </c>
      <c r="BN46" s="375"/>
      <c r="BO46" s="399">
        <f>IF(OR(N46="Constant Demand",O46="Constant Annual"),D46,$D$77*H46+IF(O46='Drop Down Lists'!$BB$2,$I$73*H46,IF(O46='Drop Down Lists'!$BB$4,$I$74*H46,IF(OR(N46='Drop Down Lists'!$BC$2,N46='Drop Down Lists'!$BC$4),$I$76*H46,IF(OR(N46='Drop Down Lists'!$BC$6,'Drop Down Lists'!$BC$8),$I$77*H46,IF(N46='Drop Down Lists'!$BC$5,$I$75*H46,$D$74*H46))))))</f>
        <v>0</v>
      </c>
      <c r="BP46" s="399">
        <f t="shared" si="19"/>
        <v>0</v>
      </c>
      <c r="BQ46" s="375"/>
      <c r="BR46" s="586">
        <f t="shared" si="20"/>
        <v>0</v>
      </c>
      <c r="BS46" s="401">
        <f t="shared" si="21"/>
        <v>0</v>
      </c>
      <c r="BT46" s="375"/>
      <c r="BU46" s="722" t="e">
        <f>VLOOKUP('Narrative &amp; Measures'!$A46,Alternatives!$C$15:$I$17,7,FALSE)</f>
        <v>#N/A</v>
      </c>
      <c r="BV46" s="722" t="e">
        <f>VLOOKUP('Narrative &amp; Measures'!$A46,Alternatives!$C$38:$I$57,7,FALSE)</f>
        <v>#N/A</v>
      </c>
      <c r="BW46" s="722" t="e">
        <f>VLOOKUP('Narrative &amp; Measures'!$A46,Alternatives!$C$63:$I$82,7,FALSE)</f>
        <v>#N/A</v>
      </c>
      <c r="BX46" s="722" t="e">
        <f>VLOOKUP('Narrative &amp; Measures'!$A46,Alternatives!$C$88:$I$107,7,FALSE)</f>
        <v>#N/A</v>
      </c>
      <c r="BY46" s="479"/>
      <c r="BZ46" s="723" t="e">
        <f t="shared" si="42"/>
        <v>#N/A</v>
      </c>
      <c r="CA46" s="723" t="e">
        <f t="shared" si="43"/>
        <v>#N/A</v>
      </c>
      <c r="CB46" s="723" t="e">
        <f t="shared" si="44"/>
        <v>#N/A</v>
      </c>
      <c r="CC46" s="722" t="e">
        <f t="shared" si="31"/>
        <v>#N/A</v>
      </c>
      <c r="CD46" s="722" t="e">
        <f t="shared" si="32"/>
        <v>#N/A</v>
      </c>
      <c r="CE46" s="722" t="e">
        <f t="shared" si="33"/>
        <v>#N/A</v>
      </c>
      <c r="CF46" s="722" t="e">
        <f t="shared" si="34"/>
        <v>#N/A</v>
      </c>
      <c r="CH46" s="726">
        <f>IF(AND(OR(B46="Deferred Maintenance",B46="Immediate Repairs: Life Safety and Critical"),_xlfn.IFNA(MATCH($A46,Alternatives!$C$15:$C$17,0),0)&gt;0,_xlfn.IFNA(VLOOKUP($A46,Alternatives!$C$15:$H$17,6,0)="Yes",0)),$P46,0)</f>
        <v>0</v>
      </c>
      <c r="CI46" s="726">
        <f>IF(AND(_xlfn.IFNA(MATCH($A46,Alternatives!$C$38:$C$57,0),0)&gt;0,_xlfn.IFNA(VLOOKUP($A46,Alternatives!$C$38:$H$57,6,0)="Yes",0)),$P46,0)</f>
        <v>0</v>
      </c>
      <c r="CJ46" s="726">
        <f>IF(AND(_xlfn.IFNA(MATCH($A46,Alternatives!$C$63:$C$82,0),0)&gt;0,_xlfn.IFNA(VLOOKUP($A46,Alternatives!$C$63:$H$82,6,0)="Yes",0)),$P46,0)</f>
        <v>0</v>
      </c>
      <c r="CK46" s="726">
        <f>IF(AND(_xlfn.IFNA(MATCH($A46,Alternatives!$C$88:$C$107,0),0)&gt;0,_xlfn.IFNA(VLOOKUP($A46,Alternatives!$C$88:$H$107,6,0)="Yes",0)),$P46,0)</f>
        <v>0</v>
      </c>
    </row>
    <row r="47" spans="1:89" s="104" customFormat="1" ht="42" customHeight="1" outlineLevel="1">
      <c r="A47" s="1106"/>
      <c r="B47" s="1097"/>
      <c r="C47" s="1098">
        <f t="shared" si="23"/>
        <v>0</v>
      </c>
      <c r="D47" s="351">
        <f t="shared" si="0"/>
        <v>0</v>
      </c>
      <c r="E47" s="595">
        <f>IF(B47='Drop Down Lists'!$AU$7,I47*Rate_NatGas+J47*Rate_Steam+K47*rate_util4+L47*Rate_Util5+M47*Rate_util6+H47*($I$75-$I$77),IF(OR(N47="Constant Demand",O47="Constant Annual"),D47,I47*Rate_NatGas+G47*Rate_EleckW+J47*Rate_Steam+K47*rate_util4+L47*Rate_Util5+M47*Rate_util6+IF(O47='Drop Down Lists'!$BB$2,$I$73*H47,IF(O47='Drop Down Lists'!$BB$3,$I$74*H47,IF(OR(N47='Drop Down Lists'!$BC$2,N47='Drop Down Lists'!$BC$4),$I$76*H47,IF(OR(N47='Drop Down Lists'!$BC$6,'Drop Down Lists'!$BC$8),$I$77*H47,IF(N47='Drop Down Lists'!$BC$5,$I$75*H47,$D$74*H47)))))))</f>
        <v>0</v>
      </c>
      <c r="F47" s="1105"/>
      <c r="G47" s="1099"/>
      <c r="H47" s="1099"/>
      <c r="I47" s="1099"/>
      <c r="J47" s="1100"/>
      <c r="K47" s="1100">
        <v>0</v>
      </c>
      <c r="L47" s="1100">
        <v>0</v>
      </c>
      <c r="M47" s="1100">
        <v>0</v>
      </c>
      <c r="N47" s="352"/>
      <c r="O47" s="352"/>
      <c r="P47" s="791">
        <f>IF(B47="Carbon Offsets",Q47/'Building Info &amp; Assumptions'!$B$119,H47*CO2_perEleckBTU*kBTUperKWH+I47*CO2_perNatGaskBTU*kBTUperTherm+J47*CO2_perSteamkBTU*kBTUperlbsSteam+K47*CO2_perUtil4kBTU*kBTUperUnit_Util4+L47*CO2_perUtil5kBTU*kBTUperUnit_Util5+M47*CO2_perUtil6kBTU*kBTUperUnit_Util6)</f>
        <v>0</v>
      </c>
      <c r="Q47" s="1101"/>
      <c r="R47" s="319">
        <f t="shared" si="1"/>
        <v>0</v>
      </c>
      <c r="S47" s="1101"/>
      <c r="T47" s="1102"/>
      <c r="U47" s="215">
        <f t="shared" si="37"/>
        <v>0</v>
      </c>
      <c r="V47" s="309">
        <f t="shared" si="38"/>
        <v>0</v>
      </c>
      <c r="W47" s="216" t="str">
        <f t="shared" si="2"/>
        <v>N/A</v>
      </c>
      <c r="X47" s="246"/>
      <c r="Y47" s="15"/>
      <c r="Z47" s="371" t="e">
        <f>IF(OR(AND(#REF!&gt;0,H47&lt;0),AND(H47&gt;0,#REF!=0)),A47,"")</f>
        <v>#REF!</v>
      </c>
      <c r="AA47" s="1103">
        <f t="shared" si="26"/>
        <v>0</v>
      </c>
      <c r="AB47" s="1104">
        <f t="shared" si="35"/>
        <v>0</v>
      </c>
      <c r="AC47" s="1104">
        <f t="shared" si="35"/>
        <v>0</v>
      </c>
      <c r="AD47" s="1104">
        <f t="shared" si="35"/>
        <v>0</v>
      </c>
      <c r="AE47" s="1104">
        <f t="shared" si="35"/>
        <v>0</v>
      </c>
      <c r="AF47" s="1104">
        <f t="shared" si="35"/>
        <v>0</v>
      </c>
      <c r="AG47" s="1104">
        <f t="shared" si="35"/>
        <v>0</v>
      </c>
      <c r="AH47" s="1104">
        <f t="shared" si="35"/>
        <v>0</v>
      </c>
      <c r="AI47" s="1104">
        <f t="shared" si="35"/>
        <v>0</v>
      </c>
      <c r="AJ47" s="1104">
        <f t="shared" si="35"/>
        <v>0</v>
      </c>
      <c r="AK47" s="1104">
        <f t="shared" si="35"/>
        <v>0</v>
      </c>
      <c r="AL47" s="1104">
        <f t="shared" si="36"/>
        <v>0</v>
      </c>
      <c r="AM47" s="1104">
        <f t="shared" si="36"/>
        <v>0</v>
      </c>
      <c r="AN47" s="1104">
        <f t="shared" si="36"/>
        <v>0</v>
      </c>
      <c r="AO47" s="1104">
        <f t="shared" si="36"/>
        <v>0</v>
      </c>
      <c r="AP47" s="1104">
        <f t="shared" si="36"/>
        <v>0</v>
      </c>
      <c r="AQ47" s="1104">
        <f t="shared" si="36"/>
        <v>0</v>
      </c>
      <c r="AR47" s="1104">
        <f t="shared" si="36"/>
        <v>0</v>
      </c>
      <c r="AS47" s="1104">
        <f t="shared" si="36"/>
        <v>0</v>
      </c>
      <c r="AT47" s="1104">
        <f t="shared" si="36"/>
        <v>0</v>
      </c>
      <c r="AU47" s="1104">
        <f t="shared" si="36"/>
        <v>0</v>
      </c>
      <c r="AV47" s="730">
        <f>IFERROR((esc_elect*H47*kBTUperKWH+esc_gas*#REF!*kBTUperTherm+esc_steam*I47*kBTUperlbsSteam+#REF!*esc_chw*kBTUperUnit_Util4+J47*esc_hw*kBTUperUnit_Util5+K47*esc_oil*kBTUperUnit_Util6)/(H47*kBTUperKWH+#REF!*kBTUperTherm+I47*kBTUperlbsSteam+#REF!*kBTUperUnit_Util4+J47*kBTUperUnit_Util5+K47*kBTUperUnit_Util6),0)</f>
        <v>0</v>
      </c>
      <c r="AW47" s="397">
        <f t="shared" si="5"/>
        <v>0</v>
      </c>
      <c r="AX47" s="397">
        <f t="shared" si="6"/>
        <v>0</v>
      </c>
      <c r="AY47" s="397">
        <f t="shared" si="7"/>
        <v>0</v>
      </c>
      <c r="AZ47" s="397">
        <f t="shared" si="8"/>
        <v>0</v>
      </c>
      <c r="BA47" s="397">
        <f t="shared" si="9"/>
        <v>0</v>
      </c>
      <c r="BB47" s="397">
        <f t="shared" si="10"/>
        <v>0</v>
      </c>
      <c r="BC47" s="397">
        <f t="shared" si="11"/>
        <v>0</v>
      </c>
      <c r="BD47" s="397">
        <f t="shared" si="27"/>
        <v>0</v>
      </c>
      <c r="BE47" s="398">
        <f>BD47/'Building Info &amp; Assumptions'!$B$372</f>
        <v>0</v>
      </c>
      <c r="BF47" s="380"/>
      <c r="BG47" s="399">
        <f t="shared" si="12"/>
        <v>0</v>
      </c>
      <c r="BH47" s="399">
        <f t="shared" si="13"/>
        <v>0</v>
      </c>
      <c r="BI47" s="399">
        <f t="shared" si="14"/>
        <v>0</v>
      </c>
      <c r="BJ47" s="399">
        <f t="shared" si="15"/>
        <v>0</v>
      </c>
      <c r="BK47" s="399">
        <f t="shared" si="16"/>
        <v>0</v>
      </c>
      <c r="BL47" s="399">
        <f t="shared" si="17"/>
        <v>0</v>
      </c>
      <c r="BM47" s="399">
        <f t="shared" si="18"/>
        <v>0</v>
      </c>
      <c r="BN47" s="375"/>
      <c r="BO47" s="399">
        <f>IF(OR(N47="Constant Demand",O47="Constant Annual"),D47,$D$77*H47+IF(O47='Drop Down Lists'!$BB$2,$I$73*H47,IF(O47='Drop Down Lists'!$BB$4,$I$74*H47,IF(OR(N47='Drop Down Lists'!$BC$2,N47='Drop Down Lists'!$BC$4),$I$76*H47,IF(OR(N47='Drop Down Lists'!$BC$6,'Drop Down Lists'!$BC$8),$I$77*H47,IF(N47='Drop Down Lists'!$BC$5,$I$75*H47,$D$74*H47))))))</f>
        <v>0</v>
      </c>
      <c r="BP47" s="399">
        <f t="shared" si="19"/>
        <v>0</v>
      </c>
      <c r="BQ47" s="375"/>
      <c r="BR47" s="586">
        <f t="shared" si="20"/>
        <v>0</v>
      </c>
      <c r="BS47" s="401">
        <f t="shared" si="21"/>
        <v>0</v>
      </c>
      <c r="BT47" s="375"/>
      <c r="BU47" s="722" t="e">
        <f>VLOOKUP('Narrative &amp; Measures'!$A47,Alternatives!$C$15:$I$17,7,FALSE)</f>
        <v>#N/A</v>
      </c>
      <c r="BV47" s="722" t="e">
        <f>VLOOKUP('Narrative &amp; Measures'!$A47,Alternatives!$C$38:$I$57,7,FALSE)</f>
        <v>#N/A</v>
      </c>
      <c r="BW47" s="722" t="e">
        <f>VLOOKUP('Narrative &amp; Measures'!$A47,Alternatives!$C$63:$I$82,7,FALSE)</f>
        <v>#N/A</v>
      </c>
      <c r="BX47" s="722" t="e">
        <f>VLOOKUP('Narrative &amp; Measures'!$A47,Alternatives!$C$88:$I$107,7,FALSE)</f>
        <v>#N/A</v>
      </c>
      <c r="BY47" s="479"/>
      <c r="BZ47" s="723" t="e">
        <f t="shared" si="28"/>
        <v>#N/A</v>
      </c>
      <c r="CA47" s="723" t="e">
        <f t="shared" si="29"/>
        <v>#N/A</v>
      </c>
      <c r="CB47" s="723" t="e">
        <f t="shared" si="30"/>
        <v>#N/A</v>
      </c>
      <c r="CC47" s="722" t="e">
        <f t="shared" si="31"/>
        <v>#N/A</v>
      </c>
      <c r="CD47" s="722" t="e">
        <f t="shared" si="32"/>
        <v>#N/A</v>
      </c>
      <c r="CE47" s="722" t="e">
        <f t="shared" si="33"/>
        <v>#N/A</v>
      </c>
      <c r="CF47" s="722" t="e">
        <f t="shared" si="34"/>
        <v>#N/A</v>
      </c>
      <c r="CH47" s="726">
        <f>IF(AND(OR(B47="Deferred Maintenance",B47="Immediate Repairs: Life Safety and Critical"),_xlfn.IFNA(MATCH($A47,Alternatives!$C$15:$C$17,0),0)&gt;0,_xlfn.IFNA(VLOOKUP($A47,Alternatives!$C$15:$H$17,6,0)="Yes",0)),$P47,0)</f>
        <v>0</v>
      </c>
      <c r="CI47" s="726">
        <f>IF(AND(_xlfn.IFNA(MATCH($A47,Alternatives!$C$38:$C$57,0),0)&gt;0,_xlfn.IFNA(VLOOKUP($A47,Alternatives!$C$38:$H$57,6,0)="Yes",0)),$P47,0)</f>
        <v>0</v>
      </c>
      <c r="CJ47" s="726">
        <f>IF(AND(_xlfn.IFNA(MATCH($A47,Alternatives!$C$63:$C$82,0),0)&gt;0,_xlfn.IFNA(VLOOKUP($A47,Alternatives!$C$63:$H$82,6,0)="Yes",0)),$P47,0)</f>
        <v>0</v>
      </c>
      <c r="CK47" s="726">
        <f>IF(AND(_xlfn.IFNA(MATCH($A47,Alternatives!$C$88:$C$107,0),0)&gt;0,_xlfn.IFNA(VLOOKUP($A47,Alternatives!$C$88:$H$107,6,0)="Yes",0)),$P47,0)</f>
        <v>0</v>
      </c>
    </row>
    <row r="48" spans="1:89" s="104" customFormat="1" ht="42" customHeight="1" outlineLevel="1">
      <c r="A48" s="1106"/>
      <c r="B48" s="1097"/>
      <c r="C48" s="1098">
        <f t="shared" si="23"/>
        <v>0</v>
      </c>
      <c r="D48" s="351">
        <f t="shared" si="0"/>
        <v>0</v>
      </c>
      <c r="E48" s="595">
        <f>IF(B48='Drop Down Lists'!$AU$7,I48*Rate_NatGas+J48*Rate_Steam+K48*rate_util4+L48*Rate_Util5+M48*Rate_util6+H48*($I$75-$I$77),IF(OR(N48="Constant Demand",O48="Constant Annual"),D48,I48*Rate_NatGas+G48*Rate_EleckW+J48*Rate_Steam+K48*rate_util4+L48*Rate_Util5+M48*Rate_util6+IF(O48='Drop Down Lists'!$BB$2,$I$73*H48,IF(O48='Drop Down Lists'!$BB$3,$I$74*H48,IF(OR(N48='Drop Down Lists'!$BC$2,N48='Drop Down Lists'!$BC$4),$I$76*H48,IF(OR(N48='Drop Down Lists'!$BC$6,'Drop Down Lists'!$BC$8),$I$77*H48,IF(N48='Drop Down Lists'!$BC$5,$I$75*H48,$D$74*H48)))))))</f>
        <v>0</v>
      </c>
      <c r="F48" s="1105"/>
      <c r="G48" s="1099"/>
      <c r="H48" s="1099"/>
      <c r="I48" s="1099"/>
      <c r="J48" s="1100"/>
      <c r="K48" s="1100">
        <v>0</v>
      </c>
      <c r="L48" s="1100">
        <v>0</v>
      </c>
      <c r="M48" s="1100">
        <v>0</v>
      </c>
      <c r="N48" s="352"/>
      <c r="O48" s="352"/>
      <c r="P48" s="791">
        <f>IF(B48="Carbon Offsets",Q48/'Building Info &amp; Assumptions'!$B$119,H48*CO2_perEleckBTU*kBTUperKWH+I48*CO2_perNatGaskBTU*kBTUperTherm+J48*CO2_perSteamkBTU*kBTUperlbsSteam+K48*CO2_perUtil4kBTU*kBTUperUnit_Util4+L48*CO2_perUtil5kBTU*kBTUperUnit_Util5+M48*CO2_perUtil6kBTU*kBTUperUnit_Util6)</f>
        <v>0</v>
      </c>
      <c r="Q48" s="1101"/>
      <c r="R48" s="319">
        <f t="shared" si="1"/>
        <v>0</v>
      </c>
      <c r="S48" s="1101"/>
      <c r="T48" s="1102"/>
      <c r="U48" s="215">
        <f t="shared" si="37"/>
        <v>0</v>
      </c>
      <c r="V48" s="309">
        <f t="shared" si="38"/>
        <v>0</v>
      </c>
      <c r="W48" s="216" t="str">
        <f t="shared" si="2"/>
        <v>N/A</v>
      </c>
      <c r="X48" s="246"/>
      <c r="Y48" s="15"/>
      <c r="Z48" s="371" t="e">
        <f>IF(OR(AND(#REF!&gt;0,H48&lt;0),AND(H48&gt;0,#REF!=0)),A48,"")</f>
        <v>#REF!</v>
      </c>
      <c r="AA48" s="1103">
        <f t="shared" si="26"/>
        <v>0</v>
      </c>
      <c r="AB48" s="1104">
        <f t="shared" ref="AB48:AK57" si="45">IF(AB$27&gt;$T48,0,$D48*(1+$AV48)+$F48)</f>
        <v>0</v>
      </c>
      <c r="AC48" s="1104">
        <f t="shared" si="45"/>
        <v>0</v>
      </c>
      <c r="AD48" s="1104">
        <f t="shared" si="45"/>
        <v>0</v>
      </c>
      <c r="AE48" s="1104">
        <f t="shared" si="45"/>
        <v>0</v>
      </c>
      <c r="AF48" s="1104">
        <f t="shared" si="45"/>
        <v>0</v>
      </c>
      <c r="AG48" s="1104">
        <f t="shared" si="45"/>
        <v>0</v>
      </c>
      <c r="AH48" s="1104">
        <f t="shared" si="45"/>
        <v>0</v>
      </c>
      <c r="AI48" s="1104">
        <f t="shared" si="45"/>
        <v>0</v>
      </c>
      <c r="AJ48" s="1104">
        <f t="shared" si="45"/>
        <v>0</v>
      </c>
      <c r="AK48" s="1104">
        <f t="shared" si="45"/>
        <v>0</v>
      </c>
      <c r="AL48" s="1104">
        <f t="shared" ref="AL48:AU57" si="46">IF(AL$27&gt;$T48,0,$D48*(1+$AV48)+$F48)</f>
        <v>0</v>
      </c>
      <c r="AM48" s="1104">
        <f t="shared" si="46"/>
        <v>0</v>
      </c>
      <c r="AN48" s="1104">
        <f t="shared" si="46"/>
        <v>0</v>
      </c>
      <c r="AO48" s="1104">
        <f t="shared" si="46"/>
        <v>0</v>
      </c>
      <c r="AP48" s="1104">
        <f t="shared" si="46"/>
        <v>0</v>
      </c>
      <c r="AQ48" s="1104">
        <f t="shared" si="46"/>
        <v>0</v>
      </c>
      <c r="AR48" s="1104">
        <f t="shared" si="46"/>
        <v>0</v>
      </c>
      <c r="AS48" s="1104">
        <f t="shared" si="46"/>
        <v>0</v>
      </c>
      <c r="AT48" s="1104">
        <f t="shared" si="46"/>
        <v>0</v>
      </c>
      <c r="AU48" s="1104">
        <f t="shared" si="46"/>
        <v>0</v>
      </c>
      <c r="AV48" s="730">
        <f>IFERROR((esc_elect*H48*kBTUperKWH+esc_gas*#REF!*kBTUperTherm+esc_steam*I48*kBTUperlbsSteam+#REF!*esc_chw*kBTUperUnit_Util4+J48*esc_hw*kBTUperUnit_Util5+K48*esc_oil*kBTUperUnit_Util6)/(H48*kBTUperKWH+#REF!*kBTUperTherm+I48*kBTUperlbsSteam+#REF!*kBTUperUnit_Util4+J48*kBTUperUnit_Util5+K48*kBTUperUnit_Util6),0)</f>
        <v>0</v>
      </c>
      <c r="AW48" s="397">
        <f t="shared" si="5"/>
        <v>0</v>
      </c>
      <c r="AX48" s="397">
        <f t="shared" si="6"/>
        <v>0</v>
      </c>
      <c r="AY48" s="397">
        <f t="shared" si="7"/>
        <v>0</v>
      </c>
      <c r="AZ48" s="397">
        <f t="shared" si="8"/>
        <v>0</v>
      </c>
      <c r="BA48" s="397">
        <f t="shared" si="9"/>
        <v>0</v>
      </c>
      <c r="BB48" s="397">
        <f t="shared" si="10"/>
        <v>0</v>
      </c>
      <c r="BC48" s="397">
        <f t="shared" si="11"/>
        <v>0</v>
      </c>
      <c r="BD48" s="397">
        <f t="shared" si="27"/>
        <v>0</v>
      </c>
      <c r="BE48" s="398">
        <f>BD48/'Building Info &amp; Assumptions'!$B$372</f>
        <v>0</v>
      </c>
      <c r="BF48" s="380"/>
      <c r="BG48" s="399">
        <f t="shared" si="12"/>
        <v>0</v>
      </c>
      <c r="BH48" s="399">
        <f t="shared" si="13"/>
        <v>0</v>
      </c>
      <c r="BI48" s="399">
        <f t="shared" si="14"/>
        <v>0</v>
      </c>
      <c r="BJ48" s="399">
        <f t="shared" si="15"/>
        <v>0</v>
      </c>
      <c r="BK48" s="399">
        <f t="shared" si="16"/>
        <v>0</v>
      </c>
      <c r="BL48" s="399">
        <f t="shared" si="17"/>
        <v>0</v>
      </c>
      <c r="BM48" s="399">
        <f t="shared" si="18"/>
        <v>0</v>
      </c>
      <c r="BN48" s="375"/>
      <c r="BO48" s="399">
        <f>IF(OR(N48="Constant Demand",O48="Constant Annual"),D48,$D$77*H48+IF(O48='Drop Down Lists'!$BB$2,$I$73*H48,IF(O48='Drop Down Lists'!$BB$4,$I$74*H48,IF(OR(N48='Drop Down Lists'!$BC$2,N48='Drop Down Lists'!$BC$4),$I$76*H48,IF(OR(N48='Drop Down Lists'!$BC$6,'Drop Down Lists'!$BC$8),$I$77*H48,IF(N48='Drop Down Lists'!$BC$5,$I$75*H48,$D$74*H48))))))</f>
        <v>0</v>
      </c>
      <c r="BP48" s="399">
        <f t="shared" si="19"/>
        <v>0</v>
      </c>
      <c r="BQ48" s="375"/>
      <c r="BR48" s="586">
        <f t="shared" si="20"/>
        <v>0</v>
      </c>
      <c r="BS48" s="401">
        <f t="shared" si="21"/>
        <v>0</v>
      </c>
      <c r="BT48" s="375"/>
      <c r="BU48" s="722" t="e">
        <f>VLOOKUP('Narrative &amp; Measures'!$A48,Alternatives!$C$15:$I$17,7,FALSE)</f>
        <v>#N/A</v>
      </c>
      <c r="BV48" s="722" t="e">
        <f>VLOOKUP('Narrative &amp; Measures'!$A48,Alternatives!$C$38:$I$57,7,FALSE)</f>
        <v>#N/A</v>
      </c>
      <c r="BW48" s="722" t="e">
        <f>VLOOKUP('Narrative &amp; Measures'!$A48,Alternatives!$C$63:$I$82,7,FALSE)</f>
        <v>#N/A</v>
      </c>
      <c r="BX48" s="722" t="e">
        <f>VLOOKUP('Narrative &amp; Measures'!$A48,Alternatives!$C$88:$I$107,7,FALSE)</f>
        <v>#N/A</v>
      </c>
      <c r="BY48" s="479"/>
      <c r="BZ48" s="723" t="e">
        <f t="shared" si="28"/>
        <v>#N/A</v>
      </c>
      <c r="CA48" s="723" t="e">
        <f t="shared" si="29"/>
        <v>#N/A</v>
      </c>
      <c r="CB48" s="723" t="e">
        <f t="shared" si="30"/>
        <v>#N/A</v>
      </c>
      <c r="CC48" s="722" t="e">
        <f t="shared" si="31"/>
        <v>#N/A</v>
      </c>
      <c r="CD48" s="722" t="e">
        <f t="shared" si="32"/>
        <v>#N/A</v>
      </c>
      <c r="CE48" s="722" t="e">
        <f t="shared" si="33"/>
        <v>#N/A</v>
      </c>
      <c r="CF48" s="722" t="e">
        <f t="shared" si="34"/>
        <v>#N/A</v>
      </c>
      <c r="CH48" s="726">
        <f>IF(AND(OR(B48="Deferred Maintenance",B48="Immediate Repairs: Life Safety and Critical"),_xlfn.IFNA(MATCH($A48,Alternatives!$C$15:$C$17,0),0)&gt;0,_xlfn.IFNA(VLOOKUP($A48,Alternatives!$C$15:$H$17,6,0)="Yes",0)),$P48,0)</f>
        <v>0</v>
      </c>
      <c r="CI48" s="726">
        <f>IF(AND(_xlfn.IFNA(MATCH($A48,Alternatives!$C$38:$C$57,0),0)&gt;0,_xlfn.IFNA(VLOOKUP($A48,Alternatives!$C$38:$H$57,6,0)="Yes",0)),$P48,0)</f>
        <v>0</v>
      </c>
      <c r="CJ48" s="726">
        <f>IF(AND(_xlfn.IFNA(MATCH($A48,Alternatives!$C$63:$C$82,0),0)&gt;0,_xlfn.IFNA(VLOOKUP($A48,Alternatives!$C$63:$H$82,6,0)="Yes",0)),$P48,0)</f>
        <v>0</v>
      </c>
      <c r="CK48" s="726">
        <f>IF(AND(_xlfn.IFNA(MATCH($A48,Alternatives!$C$88:$C$107,0),0)&gt;0,_xlfn.IFNA(VLOOKUP($A48,Alternatives!$C$88:$H$107,6,0)="Yes",0)),$P48,0)</f>
        <v>0</v>
      </c>
    </row>
    <row r="49" spans="1:89" s="104" customFormat="1" ht="42" customHeight="1" outlineLevel="1">
      <c r="A49" s="1106"/>
      <c r="B49" s="1097"/>
      <c r="C49" s="1098">
        <f t="shared" ref="C49:C56" si="47">IF(B49="Storage and Load Shifting",E49,MAX(D49,E49))+F49</f>
        <v>0</v>
      </c>
      <c r="D49" s="351">
        <f t="shared" si="0"/>
        <v>0</v>
      </c>
      <c r="E49" s="595">
        <f>IF(B49='Drop Down Lists'!$AU$7,I49*Rate_NatGas+J49*Rate_Steam+K49*rate_util4+L49*Rate_Util5+M49*Rate_util6+H49*($I$75-$I$77),IF(OR(N49="Constant Demand",O49="Constant Annual"),D49,I49*Rate_NatGas+G49*Rate_EleckW+J49*Rate_Steam+K49*rate_util4+L49*Rate_Util5+M49*Rate_util6+IF(O49='Drop Down Lists'!$BB$2,$I$73*H49,IF(O49='Drop Down Lists'!$BB$3,$I$74*H49,IF(OR(N49='Drop Down Lists'!$BC$2,N49='Drop Down Lists'!$BC$4),$I$76*H49,IF(OR(N49='Drop Down Lists'!$BC$6,'Drop Down Lists'!$BC$8),$I$77*H49,IF(N49='Drop Down Lists'!$BC$5,$I$75*H49,$D$74*H49)))))))</f>
        <v>0</v>
      </c>
      <c r="F49" s="1105"/>
      <c r="G49" s="1099"/>
      <c r="H49" s="1099"/>
      <c r="I49" s="1099"/>
      <c r="J49" s="1100"/>
      <c r="K49" s="1100">
        <v>0</v>
      </c>
      <c r="L49" s="1100">
        <v>0</v>
      </c>
      <c r="M49" s="1100">
        <v>0</v>
      </c>
      <c r="N49" s="352"/>
      <c r="O49" s="352"/>
      <c r="P49" s="791">
        <f>IF(B49="Carbon Offsets",Q49/'Building Info &amp; Assumptions'!$B$119,H49*CO2_perEleckBTU*kBTUperKWH+I49*CO2_perNatGaskBTU*kBTUperTherm+J49*CO2_perSteamkBTU*kBTUperlbsSteam+K49*CO2_perUtil4kBTU*kBTUperUnit_Util4+L49*CO2_perUtil5kBTU*kBTUperUnit_Util5+M49*CO2_perUtil6kBTU*kBTUperUnit_Util6)</f>
        <v>0</v>
      </c>
      <c r="Q49" s="1101"/>
      <c r="R49" s="319">
        <f t="shared" si="1"/>
        <v>0</v>
      </c>
      <c r="S49" s="1101"/>
      <c r="T49" s="1102"/>
      <c r="U49" s="215">
        <f t="shared" ref="U49:U56" si="48">Q49-S49</f>
        <v>0</v>
      </c>
      <c r="V49" s="309">
        <f t="shared" ref="V49:V56" si="49">U49-SUM(AA49:AM49)</f>
        <v>0</v>
      </c>
      <c r="W49" s="216" t="str">
        <f t="shared" si="2"/>
        <v>N/A</v>
      </c>
      <c r="X49" s="246"/>
      <c r="Y49" s="15"/>
      <c r="Z49" s="371" t="e">
        <f>IF(OR(AND(#REF!&gt;0,H49&lt;0),AND(H49&gt;0,#REF!=0)),A49,"")</f>
        <v>#REF!</v>
      </c>
      <c r="AA49" s="1103">
        <f t="shared" ref="AA49:AA56" si="50">U49</f>
        <v>0</v>
      </c>
      <c r="AB49" s="1104">
        <f t="shared" si="45"/>
        <v>0</v>
      </c>
      <c r="AC49" s="1104">
        <f t="shared" si="45"/>
        <v>0</v>
      </c>
      <c r="AD49" s="1104">
        <f t="shared" si="45"/>
        <v>0</v>
      </c>
      <c r="AE49" s="1104">
        <f t="shared" si="45"/>
        <v>0</v>
      </c>
      <c r="AF49" s="1104">
        <f t="shared" si="45"/>
        <v>0</v>
      </c>
      <c r="AG49" s="1104">
        <f t="shared" si="45"/>
        <v>0</v>
      </c>
      <c r="AH49" s="1104">
        <f t="shared" si="45"/>
        <v>0</v>
      </c>
      <c r="AI49" s="1104">
        <f t="shared" si="45"/>
        <v>0</v>
      </c>
      <c r="AJ49" s="1104">
        <f t="shared" si="45"/>
        <v>0</v>
      </c>
      <c r="AK49" s="1104">
        <f t="shared" si="45"/>
        <v>0</v>
      </c>
      <c r="AL49" s="1104">
        <f t="shared" si="46"/>
        <v>0</v>
      </c>
      <c r="AM49" s="1104">
        <f t="shared" si="46"/>
        <v>0</v>
      </c>
      <c r="AN49" s="1104">
        <f t="shared" si="46"/>
        <v>0</v>
      </c>
      <c r="AO49" s="1104">
        <f t="shared" si="46"/>
        <v>0</v>
      </c>
      <c r="AP49" s="1104">
        <f t="shared" si="46"/>
        <v>0</v>
      </c>
      <c r="AQ49" s="1104">
        <f t="shared" si="46"/>
        <v>0</v>
      </c>
      <c r="AR49" s="1104">
        <f t="shared" si="46"/>
        <v>0</v>
      </c>
      <c r="AS49" s="1104">
        <f t="shared" si="46"/>
        <v>0</v>
      </c>
      <c r="AT49" s="1104">
        <f t="shared" si="46"/>
        <v>0</v>
      </c>
      <c r="AU49" s="1104">
        <f t="shared" si="46"/>
        <v>0</v>
      </c>
      <c r="AV49" s="730">
        <f>IFERROR((esc_elect*H49*kBTUperKWH+esc_gas*#REF!*kBTUperTherm+esc_steam*I49*kBTUperlbsSteam+#REF!*esc_chw*kBTUperUnit_Util4+J49*esc_hw*kBTUperUnit_Util5+K49*esc_oil*kBTUperUnit_Util6)/(H49*kBTUperKWH+#REF!*kBTUperTherm+I49*kBTUperlbsSteam+#REF!*kBTUperUnit_Util4+J49*kBTUperUnit_Util5+K49*kBTUperUnit_Util6),0)</f>
        <v>0</v>
      </c>
      <c r="AW49" s="397">
        <f t="shared" si="5"/>
        <v>0</v>
      </c>
      <c r="AX49" s="397">
        <f t="shared" si="6"/>
        <v>0</v>
      </c>
      <c r="AY49" s="397">
        <f t="shared" si="7"/>
        <v>0</v>
      </c>
      <c r="AZ49" s="397">
        <f t="shared" si="8"/>
        <v>0</v>
      </c>
      <c r="BA49" s="397">
        <f t="shared" si="9"/>
        <v>0</v>
      </c>
      <c r="BB49" s="397">
        <f t="shared" si="10"/>
        <v>0</v>
      </c>
      <c r="BC49" s="397">
        <f t="shared" si="11"/>
        <v>0</v>
      </c>
      <c r="BD49" s="397">
        <f t="shared" si="27"/>
        <v>0</v>
      </c>
      <c r="BE49" s="398">
        <f>BD49/'Building Info &amp; Assumptions'!$B$372</f>
        <v>0</v>
      </c>
      <c r="BF49" s="380"/>
      <c r="BG49" s="399">
        <f t="shared" si="12"/>
        <v>0</v>
      </c>
      <c r="BH49" s="399">
        <f t="shared" si="13"/>
        <v>0</v>
      </c>
      <c r="BI49" s="399">
        <f t="shared" si="14"/>
        <v>0</v>
      </c>
      <c r="BJ49" s="399">
        <f t="shared" si="15"/>
        <v>0</v>
      </c>
      <c r="BK49" s="399">
        <f t="shared" si="16"/>
        <v>0</v>
      </c>
      <c r="BL49" s="399">
        <f t="shared" si="17"/>
        <v>0</v>
      </c>
      <c r="BM49" s="399">
        <f t="shared" si="18"/>
        <v>0</v>
      </c>
      <c r="BN49" s="375"/>
      <c r="BO49" s="399">
        <f>IF(OR(N49="Constant Demand",O49="Constant Annual"),D49,$D$77*H49+IF(O49='Drop Down Lists'!$BB$2,$I$73*H49,IF(O49='Drop Down Lists'!$BB$4,$I$74*H49,IF(OR(N49='Drop Down Lists'!$BC$2,N49='Drop Down Lists'!$BC$4),$I$76*H49,IF(OR(N49='Drop Down Lists'!$BC$6,'Drop Down Lists'!$BC$8),$I$77*H49,IF(N49='Drop Down Lists'!$BC$5,$I$75*H49,$D$74*H49))))))</f>
        <v>0</v>
      </c>
      <c r="BP49" s="399">
        <f t="shared" si="19"/>
        <v>0</v>
      </c>
      <c r="BQ49" s="375"/>
      <c r="BR49" s="586">
        <f t="shared" si="20"/>
        <v>0</v>
      </c>
      <c r="BS49" s="401">
        <f t="shared" si="21"/>
        <v>0</v>
      </c>
      <c r="BT49" s="375"/>
      <c r="BU49" s="722" t="e">
        <f>VLOOKUP('Narrative &amp; Measures'!$A49,Alternatives!$C$15:$I$17,7,FALSE)</f>
        <v>#N/A</v>
      </c>
      <c r="BV49" s="722" t="e">
        <f>VLOOKUP('Narrative &amp; Measures'!$A49,Alternatives!$C$38:$I$57,7,FALSE)</f>
        <v>#N/A</v>
      </c>
      <c r="BW49" s="722" t="e">
        <f>VLOOKUP('Narrative &amp; Measures'!$A49,Alternatives!$C$63:$I$82,7,FALSE)</f>
        <v>#N/A</v>
      </c>
      <c r="BX49" s="722" t="e">
        <f>VLOOKUP('Narrative &amp; Measures'!$A49,Alternatives!$C$88:$I$107,7,FALSE)</f>
        <v>#N/A</v>
      </c>
      <c r="BY49" s="479"/>
      <c r="BZ49" s="723" t="e">
        <f t="shared" ref="BZ49:BZ56" si="51">BV49+$T49</f>
        <v>#N/A</v>
      </c>
      <c r="CA49" s="723" t="e">
        <f t="shared" ref="CA49:CA56" si="52">BW49+$T49</f>
        <v>#N/A</v>
      </c>
      <c r="CB49" s="723" t="e">
        <f t="shared" ref="CB49:CB56" si="53">BX49+$T49</f>
        <v>#N/A</v>
      </c>
      <c r="CC49" s="722" t="e">
        <f t="shared" si="31"/>
        <v>#N/A</v>
      </c>
      <c r="CD49" s="722" t="e">
        <f t="shared" si="32"/>
        <v>#N/A</v>
      </c>
      <c r="CE49" s="722" t="e">
        <f t="shared" si="33"/>
        <v>#N/A</v>
      </c>
      <c r="CF49" s="722" t="e">
        <f t="shared" si="34"/>
        <v>#N/A</v>
      </c>
      <c r="CH49" s="726">
        <f>IF(AND(OR(B49="Deferred Maintenance",B49="Immediate Repairs: Life Safety and Critical"),_xlfn.IFNA(MATCH($A49,Alternatives!$C$15:$C$17,0),0)&gt;0,_xlfn.IFNA(VLOOKUP($A49,Alternatives!$C$15:$H$17,6,0)="Yes",0)),$P49,0)</f>
        <v>0</v>
      </c>
      <c r="CI49" s="726">
        <f>IF(AND(_xlfn.IFNA(MATCH($A49,Alternatives!$C$38:$C$57,0),0)&gt;0,_xlfn.IFNA(VLOOKUP($A49,Alternatives!$C$38:$H$57,6,0)="Yes",0)),$P49,0)</f>
        <v>0</v>
      </c>
      <c r="CJ49" s="726">
        <f>IF(AND(_xlfn.IFNA(MATCH($A49,Alternatives!$C$63:$C$82,0),0)&gt;0,_xlfn.IFNA(VLOOKUP($A49,Alternatives!$C$63:$H$82,6,0)="Yes",0)),$P49,0)</f>
        <v>0</v>
      </c>
      <c r="CK49" s="726">
        <f>IF(AND(_xlfn.IFNA(MATCH($A49,Alternatives!$C$88:$C$107,0),0)&gt;0,_xlfn.IFNA(VLOOKUP($A49,Alternatives!$C$88:$H$107,6,0)="Yes",0)),$P49,0)</f>
        <v>0</v>
      </c>
    </row>
    <row r="50" spans="1:89" s="104" customFormat="1" ht="42" customHeight="1" outlineLevel="1">
      <c r="A50" s="1106"/>
      <c r="B50" s="1097"/>
      <c r="C50" s="1098">
        <f t="shared" si="47"/>
        <v>0</v>
      </c>
      <c r="D50" s="351">
        <f t="shared" si="0"/>
        <v>0</v>
      </c>
      <c r="E50" s="595">
        <f>IF(B50='Drop Down Lists'!$AU$7,I50*Rate_NatGas+J50*Rate_Steam+K50*rate_util4+L50*Rate_Util5+M50*Rate_util6+H50*($I$75-$I$77),IF(OR(N50="Constant Demand",O50="Constant Annual"),D50,I50*Rate_NatGas+G50*Rate_EleckW+J50*Rate_Steam+K50*rate_util4+L50*Rate_Util5+M50*Rate_util6+IF(O50='Drop Down Lists'!$BB$2,$I$73*H50,IF(O50='Drop Down Lists'!$BB$3,$I$74*H50,IF(OR(N50='Drop Down Lists'!$BC$2,N50='Drop Down Lists'!$BC$4),$I$76*H50,IF(OR(N50='Drop Down Lists'!$BC$6,'Drop Down Lists'!$BC$8),$I$77*H50,IF(N50='Drop Down Lists'!$BC$5,$I$75*H50,$D$74*H50)))))))</f>
        <v>0</v>
      </c>
      <c r="F50" s="1105"/>
      <c r="G50" s="1099"/>
      <c r="H50" s="1099"/>
      <c r="I50" s="1099"/>
      <c r="J50" s="1100"/>
      <c r="K50" s="1100">
        <v>0</v>
      </c>
      <c r="L50" s="1100">
        <v>0</v>
      </c>
      <c r="M50" s="1100">
        <v>0</v>
      </c>
      <c r="N50" s="352"/>
      <c r="O50" s="352"/>
      <c r="P50" s="791">
        <f>IF(B50="Carbon Offsets",Q50/'Building Info &amp; Assumptions'!$B$119,H50*CO2_perEleckBTU*kBTUperKWH+I50*CO2_perNatGaskBTU*kBTUperTherm+J50*CO2_perSteamkBTU*kBTUperlbsSteam+K50*CO2_perUtil4kBTU*kBTUperUnit_Util4+L50*CO2_perUtil5kBTU*kBTUperUnit_Util5+M50*CO2_perUtil6kBTU*kBTUperUnit_Util6)</f>
        <v>0</v>
      </c>
      <c r="Q50" s="1101"/>
      <c r="R50" s="319">
        <f t="shared" si="1"/>
        <v>0</v>
      </c>
      <c r="S50" s="1101"/>
      <c r="T50" s="1102"/>
      <c r="U50" s="215">
        <f t="shared" si="48"/>
        <v>0</v>
      </c>
      <c r="V50" s="309">
        <f t="shared" si="49"/>
        <v>0</v>
      </c>
      <c r="W50" s="216" t="str">
        <f t="shared" si="2"/>
        <v>N/A</v>
      </c>
      <c r="X50" s="246"/>
      <c r="Y50" s="15"/>
      <c r="Z50" s="371" t="e">
        <f>IF(OR(AND(#REF!&gt;0,H50&lt;0),AND(H50&gt;0,#REF!=0)),A50,"")</f>
        <v>#REF!</v>
      </c>
      <c r="AA50" s="1103">
        <f t="shared" si="50"/>
        <v>0</v>
      </c>
      <c r="AB50" s="1104">
        <f t="shared" si="45"/>
        <v>0</v>
      </c>
      <c r="AC50" s="1104">
        <f t="shared" si="45"/>
        <v>0</v>
      </c>
      <c r="AD50" s="1104">
        <f t="shared" si="45"/>
        <v>0</v>
      </c>
      <c r="AE50" s="1104">
        <f t="shared" si="45"/>
        <v>0</v>
      </c>
      <c r="AF50" s="1104">
        <f t="shared" si="45"/>
        <v>0</v>
      </c>
      <c r="AG50" s="1104">
        <f t="shared" si="45"/>
        <v>0</v>
      </c>
      <c r="AH50" s="1104">
        <f t="shared" si="45"/>
        <v>0</v>
      </c>
      <c r="AI50" s="1104">
        <f t="shared" si="45"/>
        <v>0</v>
      </c>
      <c r="AJ50" s="1104">
        <f t="shared" si="45"/>
        <v>0</v>
      </c>
      <c r="AK50" s="1104">
        <f t="shared" si="45"/>
        <v>0</v>
      </c>
      <c r="AL50" s="1104">
        <f t="shared" si="46"/>
        <v>0</v>
      </c>
      <c r="AM50" s="1104">
        <f t="shared" si="46"/>
        <v>0</v>
      </c>
      <c r="AN50" s="1104">
        <f t="shared" si="46"/>
        <v>0</v>
      </c>
      <c r="AO50" s="1104">
        <f t="shared" si="46"/>
        <v>0</v>
      </c>
      <c r="AP50" s="1104">
        <f t="shared" si="46"/>
        <v>0</v>
      </c>
      <c r="AQ50" s="1104">
        <f t="shared" si="46"/>
        <v>0</v>
      </c>
      <c r="AR50" s="1104">
        <f t="shared" si="46"/>
        <v>0</v>
      </c>
      <c r="AS50" s="1104">
        <f t="shared" si="46"/>
        <v>0</v>
      </c>
      <c r="AT50" s="1104">
        <f t="shared" si="46"/>
        <v>0</v>
      </c>
      <c r="AU50" s="1104">
        <f t="shared" si="46"/>
        <v>0</v>
      </c>
      <c r="AV50" s="730">
        <f>IFERROR((esc_elect*H50*kBTUperKWH+esc_gas*#REF!*kBTUperTherm+esc_steam*I50*kBTUperlbsSteam+#REF!*esc_chw*kBTUperUnit_Util4+J50*esc_hw*kBTUperUnit_Util5+K50*esc_oil*kBTUperUnit_Util6)/(H50*kBTUperKWH+#REF!*kBTUperTherm+I50*kBTUperlbsSteam+#REF!*kBTUperUnit_Util4+J50*kBTUperUnit_Util5+K50*kBTUperUnit_Util6),0)</f>
        <v>0</v>
      </c>
      <c r="AW50" s="397">
        <f t="shared" si="5"/>
        <v>0</v>
      </c>
      <c r="AX50" s="397">
        <f t="shared" si="6"/>
        <v>0</v>
      </c>
      <c r="AY50" s="397">
        <f t="shared" si="7"/>
        <v>0</v>
      </c>
      <c r="AZ50" s="397">
        <f t="shared" si="8"/>
        <v>0</v>
      </c>
      <c r="BA50" s="397">
        <f t="shared" si="9"/>
        <v>0</v>
      </c>
      <c r="BB50" s="397">
        <f t="shared" si="10"/>
        <v>0</v>
      </c>
      <c r="BC50" s="397">
        <f t="shared" si="11"/>
        <v>0</v>
      </c>
      <c r="BD50" s="397">
        <f t="shared" si="27"/>
        <v>0</v>
      </c>
      <c r="BE50" s="398">
        <f>BD50/'Building Info &amp; Assumptions'!$B$372</f>
        <v>0</v>
      </c>
      <c r="BF50" s="380"/>
      <c r="BG50" s="399">
        <f t="shared" si="12"/>
        <v>0</v>
      </c>
      <c r="BH50" s="399">
        <f t="shared" si="13"/>
        <v>0</v>
      </c>
      <c r="BI50" s="399">
        <f t="shared" si="14"/>
        <v>0</v>
      </c>
      <c r="BJ50" s="399">
        <f t="shared" si="15"/>
        <v>0</v>
      </c>
      <c r="BK50" s="399">
        <f t="shared" si="16"/>
        <v>0</v>
      </c>
      <c r="BL50" s="399">
        <f t="shared" si="17"/>
        <v>0</v>
      </c>
      <c r="BM50" s="399">
        <f t="shared" si="18"/>
        <v>0</v>
      </c>
      <c r="BN50" s="375"/>
      <c r="BO50" s="399">
        <f>IF(OR(N50="Constant Demand",O50="Constant Annual"),D50,$D$77*H50+IF(O50='Drop Down Lists'!$BB$2,$I$73*H50,IF(O50='Drop Down Lists'!$BB$4,$I$74*H50,IF(OR(N50='Drop Down Lists'!$BC$2,N50='Drop Down Lists'!$BC$4),$I$76*H50,IF(OR(N50='Drop Down Lists'!$BC$6,'Drop Down Lists'!$BC$8),$I$77*H50,IF(N50='Drop Down Lists'!$BC$5,$I$75*H50,$D$74*H50))))))</f>
        <v>0</v>
      </c>
      <c r="BP50" s="399">
        <f t="shared" si="19"/>
        <v>0</v>
      </c>
      <c r="BQ50" s="375"/>
      <c r="BR50" s="586">
        <f t="shared" si="20"/>
        <v>0</v>
      </c>
      <c r="BS50" s="401">
        <f t="shared" si="21"/>
        <v>0</v>
      </c>
      <c r="BT50" s="375"/>
      <c r="BU50" s="722" t="e">
        <f>VLOOKUP('Narrative &amp; Measures'!$A50,Alternatives!$C$15:$I$17,7,FALSE)</f>
        <v>#N/A</v>
      </c>
      <c r="BV50" s="722" t="e">
        <f>VLOOKUP('Narrative &amp; Measures'!$A50,Alternatives!$C$38:$I$57,7,FALSE)</f>
        <v>#N/A</v>
      </c>
      <c r="BW50" s="722" t="e">
        <f>VLOOKUP('Narrative &amp; Measures'!$A50,Alternatives!$C$63:$I$82,7,FALSE)</f>
        <v>#N/A</v>
      </c>
      <c r="BX50" s="722" t="e">
        <f>VLOOKUP('Narrative &amp; Measures'!$A50,Alternatives!$C$88:$I$107,7,FALSE)</f>
        <v>#N/A</v>
      </c>
      <c r="BY50" s="479"/>
      <c r="BZ50" s="723" t="e">
        <f t="shared" si="51"/>
        <v>#N/A</v>
      </c>
      <c r="CA50" s="723" t="e">
        <f t="shared" si="52"/>
        <v>#N/A</v>
      </c>
      <c r="CB50" s="723" t="e">
        <f t="shared" si="53"/>
        <v>#N/A</v>
      </c>
      <c r="CC50" s="722" t="e">
        <f t="shared" si="31"/>
        <v>#N/A</v>
      </c>
      <c r="CD50" s="722" t="e">
        <f t="shared" si="32"/>
        <v>#N/A</v>
      </c>
      <c r="CE50" s="722" t="e">
        <f t="shared" si="33"/>
        <v>#N/A</v>
      </c>
      <c r="CF50" s="722" t="e">
        <f t="shared" si="34"/>
        <v>#N/A</v>
      </c>
      <c r="CH50" s="726">
        <f>IF(AND(OR(B50="Deferred Maintenance",B50="Immediate Repairs: Life Safety and Critical"),_xlfn.IFNA(MATCH($A50,Alternatives!$C$15:$C$17,0),0)&gt;0,_xlfn.IFNA(VLOOKUP($A50,Alternatives!$C$15:$H$17,6,0)="Yes",0)),$P50,0)</f>
        <v>0</v>
      </c>
      <c r="CI50" s="726">
        <f>IF(AND(_xlfn.IFNA(MATCH($A50,Alternatives!$C$38:$C$57,0),0)&gt;0,_xlfn.IFNA(VLOOKUP($A50,Alternatives!$C$38:$H$57,6,0)="Yes",0)),$P50,0)</f>
        <v>0</v>
      </c>
      <c r="CJ50" s="726">
        <f>IF(AND(_xlfn.IFNA(MATCH($A50,Alternatives!$C$63:$C$82,0),0)&gt;0,_xlfn.IFNA(VLOOKUP($A50,Alternatives!$C$63:$H$82,6,0)="Yes",0)),$P50,0)</f>
        <v>0</v>
      </c>
      <c r="CK50" s="726">
        <f>IF(AND(_xlfn.IFNA(MATCH($A50,Alternatives!$C$88:$C$107,0),0)&gt;0,_xlfn.IFNA(VLOOKUP($A50,Alternatives!$C$88:$H$107,6,0)="Yes",0)),$P50,0)</f>
        <v>0</v>
      </c>
    </row>
    <row r="51" spans="1:89" s="104" customFormat="1" ht="42" customHeight="1" outlineLevel="1">
      <c r="A51" s="1106"/>
      <c r="B51" s="1097"/>
      <c r="C51" s="1098">
        <f t="shared" si="47"/>
        <v>0</v>
      </c>
      <c r="D51" s="351">
        <f t="shared" si="0"/>
        <v>0</v>
      </c>
      <c r="E51" s="595">
        <f>IF(B51='Drop Down Lists'!$AU$7,I51*Rate_NatGas+J51*Rate_Steam+K51*rate_util4+L51*Rate_Util5+M51*Rate_util6+H51*($I$75-$I$77),IF(OR(N51="Constant Demand",O51="Constant Annual"),D51,I51*Rate_NatGas+G51*Rate_EleckW+J51*Rate_Steam+K51*rate_util4+L51*Rate_Util5+M51*Rate_util6+IF(O51='Drop Down Lists'!$BB$2,$I$73*H51,IF(O51='Drop Down Lists'!$BB$3,$I$74*H51,IF(OR(N51='Drop Down Lists'!$BC$2,N51='Drop Down Lists'!$BC$4),$I$76*H51,IF(OR(N51='Drop Down Lists'!$BC$6,'Drop Down Lists'!$BC$8),$I$77*H51,IF(N51='Drop Down Lists'!$BC$5,$I$75*H51,$D$74*H51)))))))</f>
        <v>0</v>
      </c>
      <c r="F51" s="1105"/>
      <c r="G51" s="1099"/>
      <c r="H51" s="1099"/>
      <c r="I51" s="1099"/>
      <c r="J51" s="1100"/>
      <c r="K51" s="1100">
        <v>0</v>
      </c>
      <c r="L51" s="1100">
        <v>0</v>
      </c>
      <c r="M51" s="1100">
        <v>0</v>
      </c>
      <c r="N51" s="352"/>
      <c r="O51" s="352"/>
      <c r="P51" s="791">
        <f>IF(B51="Carbon Offsets",Q51/'Building Info &amp; Assumptions'!$B$119,H51*CO2_perEleckBTU*kBTUperKWH+I51*CO2_perNatGaskBTU*kBTUperTherm+J51*CO2_perSteamkBTU*kBTUperlbsSteam+K51*CO2_perUtil4kBTU*kBTUperUnit_Util4+L51*CO2_perUtil5kBTU*kBTUperUnit_Util5+M51*CO2_perUtil6kBTU*kBTUperUnit_Util6)</f>
        <v>0</v>
      </c>
      <c r="Q51" s="1101"/>
      <c r="R51" s="319">
        <f t="shared" si="1"/>
        <v>0</v>
      </c>
      <c r="S51" s="1101"/>
      <c r="T51" s="1102"/>
      <c r="U51" s="215">
        <f t="shared" si="48"/>
        <v>0</v>
      </c>
      <c r="V51" s="309">
        <f t="shared" si="49"/>
        <v>0</v>
      </c>
      <c r="W51" s="216" t="str">
        <f t="shared" si="2"/>
        <v>N/A</v>
      </c>
      <c r="X51" s="246"/>
      <c r="Y51" s="15"/>
      <c r="Z51" s="371" t="e">
        <f>IF(OR(AND(#REF!&gt;0,H51&lt;0),AND(H51&gt;0,#REF!=0)),A51,"")</f>
        <v>#REF!</v>
      </c>
      <c r="AA51" s="1103">
        <f t="shared" si="50"/>
        <v>0</v>
      </c>
      <c r="AB51" s="1104">
        <f t="shared" si="45"/>
        <v>0</v>
      </c>
      <c r="AC51" s="1104">
        <f t="shared" si="45"/>
        <v>0</v>
      </c>
      <c r="AD51" s="1104">
        <f t="shared" si="45"/>
        <v>0</v>
      </c>
      <c r="AE51" s="1104">
        <f t="shared" si="45"/>
        <v>0</v>
      </c>
      <c r="AF51" s="1104">
        <f t="shared" si="45"/>
        <v>0</v>
      </c>
      <c r="AG51" s="1104">
        <f t="shared" si="45"/>
        <v>0</v>
      </c>
      <c r="AH51" s="1104">
        <f t="shared" si="45"/>
        <v>0</v>
      </c>
      <c r="AI51" s="1104">
        <f t="shared" si="45"/>
        <v>0</v>
      </c>
      <c r="AJ51" s="1104">
        <f t="shared" si="45"/>
        <v>0</v>
      </c>
      <c r="AK51" s="1104">
        <f t="shared" si="45"/>
        <v>0</v>
      </c>
      <c r="AL51" s="1104">
        <f t="shared" si="46"/>
        <v>0</v>
      </c>
      <c r="AM51" s="1104">
        <f t="shared" si="46"/>
        <v>0</v>
      </c>
      <c r="AN51" s="1104">
        <f t="shared" si="46"/>
        <v>0</v>
      </c>
      <c r="AO51" s="1104">
        <f t="shared" si="46"/>
        <v>0</v>
      </c>
      <c r="AP51" s="1104">
        <f t="shared" si="46"/>
        <v>0</v>
      </c>
      <c r="AQ51" s="1104">
        <f t="shared" si="46"/>
        <v>0</v>
      </c>
      <c r="AR51" s="1104">
        <f t="shared" si="46"/>
        <v>0</v>
      </c>
      <c r="AS51" s="1104">
        <f t="shared" si="46"/>
        <v>0</v>
      </c>
      <c r="AT51" s="1104">
        <f t="shared" si="46"/>
        <v>0</v>
      </c>
      <c r="AU51" s="1104">
        <f t="shared" si="46"/>
        <v>0</v>
      </c>
      <c r="AV51" s="730">
        <f>IFERROR((esc_elect*H51*kBTUperKWH+esc_gas*#REF!*kBTUperTherm+esc_steam*I51*kBTUperlbsSteam+#REF!*esc_chw*kBTUperUnit_Util4+J51*esc_hw*kBTUperUnit_Util5+K51*esc_oil*kBTUperUnit_Util6)/(H51*kBTUperKWH+#REF!*kBTUperTherm+I51*kBTUperlbsSteam+#REF!*kBTUperUnit_Util4+J51*kBTUperUnit_Util5+K51*kBTUperUnit_Util6),0)</f>
        <v>0</v>
      </c>
      <c r="AW51" s="397">
        <f t="shared" si="5"/>
        <v>0</v>
      </c>
      <c r="AX51" s="397">
        <f t="shared" si="6"/>
        <v>0</v>
      </c>
      <c r="AY51" s="397">
        <f t="shared" si="7"/>
        <v>0</v>
      </c>
      <c r="AZ51" s="397">
        <f t="shared" si="8"/>
        <v>0</v>
      </c>
      <c r="BA51" s="397">
        <f t="shared" si="9"/>
        <v>0</v>
      </c>
      <c r="BB51" s="397">
        <f t="shared" si="10"/>
        <v>0</v>
      </c>
      <c r="BC51" s="397">
        <f t="shared" si="11"/>
        <v>0</v>
      </c>
      <c r="BD51" s="397">
        <f t="shared" si="27"/>
        <v>0</v>
      </c>
      <c r="BE51" s="398">
        <f>BD51/'Building Info &amp; Assumptions'!$B$372</f>
        <v>0</v>
      </c>
      <c r="BF51" s="380"/>
      <c r="BG51" s="399">
        <f t="shared" si="12"/>
        <v>0</v>
      </c>
      <c r="BH51" s="399">
        <f t="shared" si="13"/>
        <v>0</v>
      </c>
      <c r="BI51" s="399">
        <f t="shared" si="14"/>
        <v>0</v>
      </c>
      <c r="BJ51" s="399">
        <f t="shared" si="15"/>
        <v>0</v>
      </c>
      <c r="BK51" s="399">
        <f t="shared" si="16"/>
        <v>0</v>
      </c>
      <c r="BL51" s="399">
        <f t="shared" si="17"/>
        <v>0</v>
      </c>
      <c r="BM51" s="399">
        <f t="shared" si="18"/>
        <v>0</v>
      </c>
      <c r="BN51" s="375"/>
      <c r="BO51" s="399">
        <f>IF(OR(N51="Constant Demand",O51="Constant Annual"),D51,$D$77*H51+IF(O51='Drop Down Lists'!$BB$2,$I$73*H51,IF(O51='Drop Down Lists'!$BB$4,$I$74*H51,IF(OR(N51='Drop Down Lists'!$BC$2,N51='Drop Down Lists'!$BC$4),$I$76*H51,IF(OR(N51='Drop Down Lists'!$BC$6,'Drop Down Lists'!$BC$8),$I$77*H51,IF(N51='Drop Down Lists'!$BC$5,$I$75*H51,$D$74*H51))))))</f>
        <v>0</v>
      </c>
      <c r="BP51" s="399">
        <f t="shared" si="19"/>
        <v>0</v>
      </c>
      <c r="BQ51" s="375"/>
      <c r="BR51" s="586">
        <f t="shared" si="20"/>
        <v>0</v>
      </c>
      <c r="BS51" s="401">
        <f t="shared" si="21"/>
        <v>0</v>
      </c>
      <c r="BT51" s="375"/>
      <c r="BU51" s="722" t="e">
        <f>VLOOKUP('Narrative &amp; Measures'!$A51,Alternatives!$C$15:$I$17,7,FALSE)</f>
        <v>#N/A</v>
      </c>
      <c r="BV51" s="722" t="e">
        <f>VLOOKUP('Narrative &amp; Measures'!$A51,Alternatives!$C$38:$I$57,7,FALSE)</f>
        <v>#N/A</v>
      </c>
      <c r="BW51" s="722" t="e">
        <f>VLOOKUP('Narrative &amp; Measures'!$A51,Alternatives!$C$63:$I$82,7,FALSE)</f>
        <v>#N/A</v>
      </c>
      <c r="BX51" s="722" t="e">
        <f>VLOOKUP('Narrative &amp; Measures'!$A51,Alternatives!$C$88:$I$107,7,FALSE)</f>
        <v>#N/A</v>
      </c>
      <c r="BY51" s="479"/>
      <c r="BZ51" s="723" t="e">
        <f t="shared" si="51"/>
        <v>#N/A</v>
      </c>
      <c r="CA51" s="723" t="e">
        <f t="shared" si="52"/>
        <v>#N/A</v>
      </c>
      <c r="CB51" s="723" t="e">
        <f t="shared" si="53"/>
        <v>#N/A</v>
      </c>
      <c r="CC51" s="722" t="e">
        <f t="shared" si="31"/>
        <v>#N/A</v>
      </c>
      <c r="CD51" s="722" t="e">
        <f t="shared" si="32"/>
        <v>#N/A</v>
      </c>
      <c r="CE51" s="722" t="e">
        <f t="shared" si="33"/>
        <v>#N/A</v>
      </c>
      <c r="CF51" s="722" t="e">
        <f t="shared" si="34"/>
        <v>#N/A</v>
      </c>
      <c r="CH51" s="726">
        <f>IF(AND(OR(B51="Deferred Maintenance",B51="Immediate Repairs: Life Safety and Critical"),_xlfn.IFNA(MATCH($A51,Alternatives!$C$15:$C$17,0),0)&gt;0,_xlfn.IFNA(VLOOKUP($A51,Alternatives!$C$15:$H$17,6,0)="Yes",0)),$P51,0)</f>
        <v>0</v>
      </c>
      <c r="CI51" s="726">
        <f>IF(AND(_xlfn.IFNA(MATCH($A51,Alternatives!$C$38:$C$57,0),0)&gt;0,_xlfn.IFNA(VLOOKUP($A51,Alternatives!$C$38:$H$57,6,0)="Yes",0)),$P51,0)</f>
        <v>0</v>
      </c>
      <c r="CJ51" s="726">
        <f>IF(AND(_xlfn.IFNA(MATCH($A51,Alternatives!$C$63:$C$82,0),0)&gt;0,_xlfn.IFNA(VLOOKUP($A51,Alternatives!$C$63:$H$82,6,0)="Yes",0)),$P51,0)</f>
        <v>0</v>
      </c>
      <c r="CK51" s="726">
        <f>IF(AND(_xlfn.IFNA(MATCH($A51,Alternatives!$C$88:$C$107,0),0)&gt;0,_xlfn.IFNA(VLOOKUP($A51,Alternatives!$C$88:$H$107,6,0)="Yes",0)),$P51,0)</f>
        <v>0</v>
      </c>
    </row>
    <row r="52" spans="1:89" s="104" customFormat="1" ht="42" customHeight="1" outlineLevel="1">
      <c r="A52" s="1106"/>
      <c r="B52" s="1097"/>
      <c r="C52" s="1098">
        <f t="shared" si="47"/>
        <v>0</v>
      </c>
      <c r="D52" s="351">
        <f t="shared" si="0"/>
        <v>0</v>
      </c>
      <c r="E52" s="595">
        <f>IF(B52='Drop Down Lists'!$AU$7,I52*Rate_NatGas+J52*Rate_Steam+K52*rate_util4+L52*Rate_Util5+M52*Rate_util6+H52*($I$75-$I$77),IF(OR(N52="Constant Demand",O52="Constant Annual"),D52,I52*Rate_NatGas+G52*Rate_EleckW+J52*Rate_Steam+K52*rate_util4+L52*Rate_Util5+M52*Rate_util6+IF(O52='Drop Down Lists'!$BB$2,$I$73*H52,IF(O52='Drop Down Lists'!$BB$3,$I$74*H52,IF(OR(N52='Drop Down Lists'!$BC$2,N52='Drop Down Lists'!$BC$4),$I$76*H52,IF(OR(N52='Drop Down Lists'!$BC$6,'Drop Down Lists'!$BC$8),$I$77*H52,IF(N52='Drop Down Lists'!$BC$5,$I$75*H52,$D$74*H52)))))))</f>
        <v>0</v>
      </c>
      <c r="F52" s="1105"/>
      <c r="G52" s="1099"/>
      <c r="H52" s="1099"/>
      <c r="I52" s="1099"/>
      <c r="J52" s="1100"/>
      <c r="K52" s="1100">
        <v>0</v>
      </c>
      <c r="L52" s="1100">
        <v>0</v>
      </c>
      <c r="M52" s="1100">
        <v>0</v>
      </c>
      <c r="N52" s="352"/>
      <c r="O52" s="352"/>
      <c r="P52" s="791">
        <f>IF(B52="Carbon Offsets",Q52/'Building Info &amp; Assumptions'!$B$119,H52*CO2_perEleckBTU*kBTUperKWH+I52*CO2_perNatGaskBTU*kBTUperTherm+J52*CO2_perSteamkBTU*kBTUperlbsSteam+K52*CO2_perUtil4kBTU*kBTUperUnit_Util4+L52*CO2_perUtil5kBTU*kBTUperUnit_Util5+M52*CO2_perUtil6kBTU*kBTUperUnit_Util6)</f>
        <v>0</v>
      </c>
      <c r="Q52" s="1101"/>
      <c r="R52" s="319">
        <f t="shared" si="1"/>
        <v>0</v>
      </c>
      <c r="S52" s="1101"/>
      <c r="T52" s="1102"/>
      <c r="U52" s="215">
        <f t="shared" si="48"/>
        <v>0</v>
      </c>
      <c r="V52" s="309">
        <f t="shared" si="49"/>
        <v>0</v>
      </c>
      <c r="W52" s="216" t="str">
        <f t="shared" si="2"/>
        <v>N/A</v>
      </c>
      <c r="X52" s="246"/>
      <c r="Y52" s="15"/>
      <c r="Z52" s="371" t="e">
        <f>IF(OR(AND(#REF!&gt;0,H52&lt;0),AND(H52&gt;0,#REF!=0)),A52,"")</f>
        <v>#REF!</v>
      </c>
      <c r="AA52" s="1103">
        <f t="shared" si="50"/>
        <v>0</v>
      </c>
      <c r="AB52" s="1104">
        <f t="shared" si="45"/>
        <v>0</v>
      </c>
      <c r="AC52" s="1104">
        <f t="shared" si="45"/>
        <v>0</v>
      </c>
      <c r="AD52" s="1104">
        <f t="shared" si="45"/>
        <v>0</v>
      </c>
      <c r="AE52" s="1104">
        <f t="shared" si="45"/>
        <v>0</v>
      </c>
      <c r="AF52" s="1104">
        <f t="shared" si="45"/>
        <v>0</v>
      </c>
      <c r="AG52" s="1104">
        <f t="shared" si="45"/>
        <v>0</v>
      </c>
      <c r="AH52" s="1104">
        <f t="shared" si="45"/>
        <v>0</v>
      </c>
      <c r="AI52" s="1104">
        <f t="shared" si="45"/>
        <v>0</v>
      </c>
      <c r="AJ52" s="1104">
        <f t="shared" si="45"/>
        <v>0</v>
      </c>
      <c r="AK52" s="1104">
        <f t="shared" si="45"/>
        <v>0</v>
      </c>
      <c r="AL52" s="1104">
        <f t="shared" si="46"/>
        <v>0</v>
      </c>
      <c r="AM52" s="1104">
        <f t="shared" si="46"/>
        <v>0</v>
      </c>
      <c r="AN52" s="1104">
        <f t="shared" si="46"/>
        <v>0</v>
      </c>
      <c r="AO52" s="1104">
        <f t="shared" si="46"/>
        <v>0</v>
      </c>
      <c r="AP52" s="1104">
        <f t="shared" si="46"/>
        <v>0</v>
      </c>
      <c r="AQ52" s="1104">
        <f t="shared" si="46"/>
        <v>0</v>
      </c>
      <c r="AR52" s="1104">
        <f t="shared" si="46"/>
        <v>0</v>
      </c>
      <c r="AS52" s="1104">
        <f t="shared" si="46"/>
        <v>0</v>
      </c>
      <c r="AT52" s="1104">
        <f t="shared" si="46"/>
        <v>0</v>
      </c>
      <c r="AU52" s="1104">
        <f t="shared" si="46"/>
        <v>0</v>
      </c>
      <c r="AV52" s="730">
        <f>IFERROR((esc_elect*H52*kBTUperKWH+esc_gas*#REF!*kBTUperTherm+esc_steam*I52*kBTUperlbsSteam+#REF!*esc_chw*kBTUperUnit_Util4+J52*esc_hw*kBTUperUnit_Util5+K52*esc_oil*kBTUperUnit_Util6)/(H52*kBTUperKWH+#REF!*kBTUperTherm+I52*kBTUperlbsSteam+#REF!*kBTUperUnit_Util4+J52*kBTUperUnit_Util5+K52*kBTUperUnit_Util6),0)</f>
        <v>0</v>
      </c>
      <c r="AW52" s="397">
        <f t="shared" si="5"/>
        <v>0</v>
      </c>
      <c r="AX52" s="397">
        <f t="shared" si="6"/>
        <v>0</v>
      </c>
      <c r="AY52" s="397">
        <f t="shared" si="7"/>
        <v>0</v>
      </c>
      <c r="AZ52" s="397">
        <f t="shared" si="8"/>
        <v>0</v>
      </c>
      <c r="BA52" s="397">
        <f t="shared" si="9"/>
        <v>0</v>
      </c>
      <c r="BB52" s="397">
        <f t="shared" si="10"/>
        <v>0</v>
      </c>
      <c r="BC52" s="397">
        <f t="shared" si="11"/>
        <v>0</v>
      </c>
      <c r="BD52" s="397">
        <f t="shared" si="27"/>
        <v>0</v>
      </c>
      <c r="BE52" s="398">
        <f>BD52/'Building Info &amp; Assumptions'!$B$372</f>
        <v>0</v>
      </c>
      <c r="BF52" s="380"/>
      <c r="BG52" s="399">
        <f t="shared" si="12"/>
        <v>0</v>
      </c>
      <c r="BH52" s="399">
        <f t="shared" si="13"/>
        <v>0</v>
      </c>
      <c r="BI52" s="399">
        <f t="shared" si="14"/>
        <v>0</v>
      </c>
      <c r="BJ52" s="399">
        <f t="shared" si="15"/>
        <v>0</v>
      </c>
      <c r="BK52" s="399">
        <f t="shared" si="16"/>
        <v>0</v>
      </c>
      <c r="BL52" s="399">
        <f t="shared" si="17"/>
        <v>0</v>
      </c>
      <c r="BM52" s="399">
        <f t="shared" si="18"/>
        <v>0</v>
      </c>
      <c r="BN52" s="375"/>
      <c r="BO52" s="399">
        <f>IF(OR(N52="Constant Demand",O52="Constant Annual"),D52,$D$77*H52+IF(O52='Drop Down Lists'!$BB$2,$I$73*H52,IF(O52='Drop Down Lists'!$BB$4,$I$74*H52,IF(OR(N52='Drop Down Lists'!$BC$2,N52='Drop Down Lists'!$BC$4),$I$76*H52,IF(OR(N52='Drop Down Lists'!$BC$6,'Drop Down Lists'!$BC$8),$I$77*H52,IF(N52='Drop Down Lists'!$BC$5,$I$75*H52,$D$74*H52))))))</f>
        <v>0</v>
      </c>
      <c r="BP52" s="399">
        <f t="shared" si="19"/>
        <v>0</v>
      </c>
      <c r="BQ52" s="375"/>
      <c r="BR52" s="586">
        <f t="shared" si="20"/>
        <v>0</v>
      </c>
      <c r="BS52" s="401">
        <f t="shared" si="21"/>
        <v>0</v>
      </c>
      <c r="BT52" s="375"/>
      <c r="BU52" s="722" t="e">
        <f>VLOOKUP('Narrative &amp; Measures'!$A52,Alternatives!$C$15:$I$17,7,FALSE)</f>
        <v>#N/A</v>
      </c>
      <c r="BV52" s="722" t="e">
        <f>VLOOKUP('Narrative &amp; Measures'!$A52,Alternatives!$C$38:$I$57,7,FALSE)</f>
        <v>#N/A</v>
      </c>
      <c r="BW52" s="722" t="e">
        <f>VLOOKUP('Narrative &amp; Measures'!$A52,Alternatives!$C$63:$I$82,7,FALSE)</f>
        <v>#N/A</v>
      </c>
      <c r="BX52" s="722" t="e">
        <f>VLOOKUP('Narrative &amp; Measures'!$A52,Alternatives!$C$88:$I$107,7,FALSE)</f>
        <v>#N/A</v>
      </c>
      <c r="BY52" s="479"/>
      <c r="BZ52" s="723" t="e">
        <f t="shared" si="51"/>
        <v>#N/A</v>
      </c>
      <c r="CA52" s="723" t="e">
        <f t="shared" si="52"/>
        <v>#N/A</v>
      </c>
      <c r="CB52" s="723" t="e">
        <f t="shared" si="53"/>
        <v>#N/A</v>
      </c>
      <c r="CC52" s="722" t="e">
        <f t="shared" si="31"/>
        <v>#N/A</v>
      </c>
      <c r="CD52" s="722" t="e">
        <f t="shared" si="32"/>
        <v>#N/A</v>
      </c>
      <c r="CE52" s="722" t="e">
        <f t="shared" si="33"/>
        <v>#N/A</v>
      </c>
      <c r="CF52" s="722" t="e">
        <f t="shared" si="34"/>
        <v>#N/A</v>
      </c>
      <c r="CH52" s="726">
        <f>IF(AND(OR(B52="Deferred Maintenance",B52="Immediate Repairs: Life Safety and Critical"),_xlfn.IFNA(MATCH($A52,Alternatives!$C$15:$C$17,0),0)&gt;0,_xlfn.IFNA(VLOOKUP($A52,Alternatives!$C$15:$H$17,6,0)="Yes",0)),$P52,0)</f>
        <v>0</v>
      </c>
      <c r="CI52" s="726">
        <f>IF(AND(_xlfn.IFNA(MATCH($A52,Alternatives!$C$38:$C$57,0),0)&gt;0,_xlfn.IFNA(VLOOKUP($A52,Alternatives!$C$38:$H$57,6,0)="Yes",0)),$P52,0)</f>
        <v>0</v>
      </c>
      <c r="CJ52" s="726">
        <f>IF(AND(_xlfn.IFNA(MATCH($A52,Alternatives!$C$63:$C$82,0),0)&gt;0,_xlfn.IFNA(VLOOKUP($A52,Alternatives!$C$63:$H$82,6,0)="Yes",0)),$P52,0)</f>
        <v>0</v>
      </c>
      <c r="CK52" s="726">
        <f>IF(AND(_xlfn.IFNA(MATCH($A52,Alternatives!$C$88:$C$107,0),0)&gt;0,_xlfn.IFNA(VLOOKUP($A52,Alternatives!$C$88:$H$107,6,0)="Yes",0)),$P52,0)</f>
        <v>0</v>
      </c>
    </row>
    <row r="53" spans="1:89" s="104" customFormat="1" ht="42" customHeight="1" outlineLevel="1">
      <c r="A53" s="1106"/>
      <c r="B53" s="1097"/>
      <c r="C53" s="1098">
        <f t="shared" si="47"/>
        <v>0</v>
      </c>
      <c r="D53" s="351">
        <f t="shared" si="0"/>
        <v>0</v>
      </c>
      <c r="E53" s="595">
        <f>IF(B53='Drop Down Lists'!$AU$7,I53*Rate_NatGas+J53*Rate_Steam+K53*rate_util4+L53*Rate_Util5+M53*Rate_util6+H53*($I$75-$I$77),IF(OR(N53="Constant Demand",O53="Constant Annual"),D53,I53*Rate_NatGas+G53*Rate_EleckW+J53*Rate_Steam+K53*rate_util4+L53*Rate_Util5+M53*Rate_util6+IF(O53='Drop Down Lists'!$BB$2,$I$73*H53,IF(O53='Drop Down Lists'!$BB$3,$I$74*H53,IF(OR(N53='Drop Down Lists'!$BC$2,N53='Drop Down Lists'!$BC$4),$I$76*H53,IF(OR(N53='Drop Down Lists'!$BC$6,'Drop Down Lists'!$BC$8),$I$77*H53,IF(N53='Drop Down Lists'!$BC$5,$I$75*H53,$D$74*H53)))))))</f>
        <v>0</v>
      </c>
      <c r="F53" s="1105"/>
      <c r="G53" s="1099"/>
      <c r="H53" s="1099"/>
      <c r="I53" s="1099"/>
      <c r="J53" s="1100"/>
      <c r="K53" s="1100">
        <v>0</v>
      </c>
      <c r="L53" s="1100">
        <v>0</v>
      </c>
      <c r="M53" s="1100">
        <v>0</v>
      </c>
      <c r="N53" s="352"/>
      <c r="O53" s="352"/>
      <c r="P53" s="791">
        <f>IF(B53="Carbon Offsets",Q53/'Building Info &amp; Assumptions'!$B$119,H53*CO2_perEleckBTU*kBTUperKWH+I53*CO2_perNatGaskBTU*kBTUperTherm+J53*CO2_perSteamkBTU*kBTUperlbsSteam+K53*CO2_perUtil4kBTU*kBTUperUnit_Util4+L53*CO2_perUtil5kBTU*kBTUperUnit_Util5+M53*CO2_perUtil6kBTU*kBTUperUnit_Util6)</f>
        <v>0</v>
      </c>
      <c r="Q53" s="1101"/>
      <c r="R53" s="319">
        <f t="shared" si="1"/>
        <v>0</v>
      </c>
      <c r="S53" s="1101"/>
      <c r="T53" s="1102"/>
      <c r="U53" s="215">
        <f t="shared" si="48"/>
        <v>0</v>
      </c>
      <c r="V53" s="309">
        <f t="shared" si="49"/>
        <v>0</v>
      </c>
      <c r="W53" s="216" t="str">
        <f t="shared" si="2"/>
        <v>N/A</v>
      </c>
      <c r="X53" s="246"/>
      <c r="Y53" s="15"/>
      <c r="Z53" s="371" t="e">
        <f>IF(OR(AND(#REF!&gt;0,H53&lt;0),AND(H53&gt;0,#REF!=0)),A53,"")</f>
        <v>#REF!</v>
      </c>
      <c r="AA53" s="1103">
        <f t="shared" si="50"/>
        <v>0</v>
      </c>
      <c r="AB53" s="1104">
        <f t="shared" si="45"/>
        <v>0</v>
      </c>
      <c r="AC53" s="1104">
        <f t="shared" si="45"/>
        <v>0</v>
      </c>
      <c r="AD53" s="1104">
        <f t="shared" si="45"/>
        <v>0</v>
      </c>
      <c r="AE53" s="1104">
        <f t="shared" si="45"/>
        <v>0</v>
      </c>
      <c r="AF53" s="1104">
        <f t="shared" si="45"/>
        <v>0</v>
      </c>
      <c r="AG53" s="1104">
        <f t="shared" si="45"/>
        <v>0</v>
      </c>
      <c r="AH53" s="1104">
        <f t="shared" si="45"/>
        <v>0</v>
      </c>
      <c r="AI53" s="1104">
        <f t="shared" si="45"/>
        <v>0</v>
      </c>
      <c r="AJ53" s="1104">
        <f t="shared" si="45"/>
        <v>0</v>
      </c>
      <c r="AK53" s="1104">
        <f t="shared" si="45"/>
        <v>0</v>
      </c>
      <c r="AL53" s="1104">
        <f t="shared" si="46"/>
        <v>0</v>
      </c>
      <c r="AM53" s="1104">
        <f t="shared" si="46"/>
        <v>0</v>
      </c>
      <c r="AN53" s="1104">
        <f t="shared" si="46"/>
        <v>0</v>
      </c>
      <c r="AO53" s="1104">
        <f t="shared" si="46"/>
        <v>0</v>
      </c>
      <c r="AP53" s="1104">
        <f t="shared" si="46"/>
        <v>0</v>
      </c>
      <c r="AQ53" s="1104">
        <f t="shared" si="46"/>
        <v>0</v>
      </c>
      <c r="AR53" s="1104">
        <f t="shared" si="46"/>
        <v>0</v>
      </c>
      <c r="AS53" s="1104">
        <f t="shared" si="46"/>
        <v>0</v>
      </c>
      <c r="AT53" s="1104">
        <f t="shared" si="46"/>
        <v>0</v>
      </c>
      <c r="AU53" s="1104">
        <f t="shared" si="46"/>
        <v>0</v>
      </c>
      <c r="AV53" s="730">
        <f>IFERROR((esc_elect*H53*kBTUperKWH+esc_gas*#REF!*kBTUperTherm+esc_steam*I53*kBTUperlbsSteam+#REF!*esc_chw*kBTUperUnit_Util4+J53*esc_hw*kBTUperUnit_Util5+K53*esc_oil*kBTUperUnit_Util6)/(H53*kBTUperKWH+#REF!*kBTUperTherm+I53*kBTUperlbsSteam+#REF!*kBTUperUnit_Util4+J53*kBTUperUnit_Util5+K53*kBTUperUnit_Util6),0)</f>
        <v>0</v>
      </c>
      <c r="AW53" s="397">
        <f t="shared" si="5"/>
        <v>0</v>
      </c>
      <c r="AX53" s="397">
        <f t="shared" si="6"/>
        <v>0</v>
      </c>
      <c r="AY53" s="397">
        <f t="shared" si="7"/>
        <v>0</v>
      </c>
      <c r="AZ53" s="397">
        <f t="shared" si="8"/>
        <v>0</v>
      </c>
      <c r="BA53" s="397">
        <f t="shared" si="9"/>
        <v>0</v>
      </c>
      <c r="BB53" s="397">
        <f t="shared" si="10"/>
        <v>0</v>
      </c>
      <c r="BC53" s="397">
        <f t="shared" si="11"/>
        <v>0</v>
      </c>
      <c r="BD53" s="397">
        <f t="shared" si="27"/>
        <v>0</v>
      </c>
      <c r="BE53" s="398">
        <f>BD53/'Building Info &amp; Assumptions'!$B$372</f>
        <v>0</v>
      </c>
      <c r="BF53" s="380"/>
      <c r="BG53" s="399">
        <f t="shared" si="12"/>
        <v>0</v>
      </c>
      <c r="BH53" s="399">
        <f t="shared" si="13"/>
        <v>0</v>
      </c>
      <c r="BI53" s="399">
        <f t="shared" si="14"/>
        <v>0</v>
      </c>
      <c r="BJ53" s="399">
        <f t="shared" si="15"/>
        <v>0</v>
      </c>
      <c r="BK53" s="399">
        <f t="shared" si="16"/>
        <v>0</v>
      </c>
      <c r="BL53" s="399">
        <f t="shared" si="17"/>
        <v>0</v>
      </c>
      <c r="BM53" s="399">
        <f t="shared" si="18"/>
        <v>0</v>
      </c>
      <c r="BN53" s="375"/>
      <c r="BO53" s="399">
        <f>IF(OR(N53="Constant Demand",O53="Constant Annual"),D53,$D$77*H53+IF(O53='Drop Down Lists'!$BB$2,$I$73*H53,IF(O53='Drop Down Lists'!$BB$4,$I$74*H53,IF(OR(N53='Drop Down Lists'!$BC$2,N53='Drop Down Lists'!$BC$4),$I$76*H53,IF(OR(N53='Drop Down Lists'!$BC$6,'Drop Down Lists'!$BC$8),$I$77*H53,IF(N53='Drop Down Lists'!$BC$5,$I$75*H53,$D$74*H53))))))</f>
        <v>0</v>
      </c>
      <c r="BP53" s="399">
        <f t="shared" si="19"/>
        <v>0</v>
      </c>
      <c r="BQ53" s="375"/>
      <c r="BR53" s="586">
        <f t="shared" si="20"/>
        <v>0</v>
      </c>
      <c r="BS53" s="401">
        <f t="shared" si="21"/>
        <v>0</v>
      </c>
      <c r="BT53" s="375"/>
      <c r="BU53" s="722" t="e">
        <f>VLOOKUP('Narrative &amp; Measures'!$A53,Alternatives!$C$15:$I$17,7,FALSE)</f>
        <v>#N/A</v>
      </c>
      <c r="BV53" s="722" t="e">
        <f>VLOOKUP('Narrative &amp; Measures'!$A53,Alternatives!$C$38:$I$57,7,FALSE)</f>
        <v>#N/A</v>
      </c>
      <c r="BW53" s="722" t="e">
        <f>VLOOKUP('Narrative &amp; Measures'!$A53,Alternatives!$C$63:$I$82,7,FALSE)</f>
        <v>#N/A</v>
      </c>
      <c r="BX53" s="722" t="e">
        <f>VLOOKUP('Narrative &amp; Measures'!$A53,Alternatives!$C$88:$I$107,7,FALSE)</f>
        <v>#N/A</v>
      </c>
      <c r="BY53" s="479"/>
      <c r="BZ53" s="723" t="e">
        <f t="shared" si="51"/>
        <v>#N/A</v>
      </c>
      <c r="CA53" s="723" t="e">
        <f t="shared" si="52"/>
        <v>#N/A</v>
      </c>
      <c r="CB53" s="723" t="e">
        <f t="shared" si="53"/>
        <v>#N/A</v>
      </c>
      <c r="CC53" s="722" t="e">
        <f t="shared" si="31"/>
        <v>#N/A</v>
      </c>
      <c r="CD53" s="722" t="e">
        <f t="shared" si="32"/>
        <v>#N/A</v>
      </c>
      <c r="CE53" s="722" t="e">
        <f t="shared" si="33"/>
        <v>#N/A</v>
      </c>
      <c r="CF53" s="722" t="e">
        <f t="shared" si="34"/>
        <v>#N/A</v>
      </c>
      <c r="CH53" s="726">
        <f>IF(AND(OR(B53="Deferred Maintenance",B53="Immediate Repairs: Life Safety and Critical"),_xlfn.IFNA(MATCH($A53,Alternatives!$C$15:$C$17,0),0)&gt;0,_xlfn.IFNA(VLOOKUP($A53,Alternatives!$C$15:$H$17,6,0)="Yes",0)),$P53,0)</f>
        <v>0</v>
      </c>
      <c r="CI53" s="726">
        <f>IF(AND(_xlfn.IFNA(MATCH($A53,Alternatives!$C$38:$C$57,0),0)&gt;0,_xlfn.IFNA(VLOOKUP($A53,Alternatives!$C$38:$H$57,6,0)="Yes",0)),$P53,0)</f>
        <v>0</v>
      </c>
      <c r="CJ53" s="726">
        <f>IF(AND(_xlfn.IFNA(MATCH($A53,Alternatives!$C$63:$C$82,0),0)&gt;0,_xlfn.IFNA(VLOOKUP($A53,Alternatives!$C$63:$H$82,6,0)="Yes",0)),$P53,0)</f>
        <v>0</v>
      </c>
      <c r="CK53" s="726">
        <f>IF(AND(_xlfn.IFNA(MATCH($A53,Alternatives!$C$88:$C$107,0),0)&gt;0,_xlfn.IFNA(VLOOKUP($A53,Alternatives!$C$88:$H$107,6,0)="Yes",0)),$P53,0)</f>
        <v>0</v>
      </c>
    </row>
    <row r="54" spans="1:89" s="104" customFormat="1" ht="42" customHeight="1" outlineLevel="1">
      <c r="A54" s="1106"/>
      <c r="B54" s="1097"/>
      <c r="C54" s="1098">
        <f t="shared" si="47"/>
        <v>0</v>
      </c>
      <c r="D54" s="351">
        <f t="shared" si="0"/>
        <v>0</v>
      </c>
      <c r="E54" s="595">
        <f>IF(B54='Drop Down Lists'!$AU$7,I54*Rate_NatGas+J54*Rate_Steam+K54*rate_util4+L54*Rate_Util5+M54*Rate_util6+H54*($I$75-$I$77),IF(OR(N54="Constant Demand",O54="Constant Annual"),D54,I54*Rate_NatGas+G54*Rate_EleckW+J54*Rate_Steam+K54*rate_util4+L54*Rate_Util5+M54*Rate_util6+IF(O54='Drop Down Lists'!$BB$2,$I$73*H54,IF(O54='Drop Down Lists'!$BB$3,$I$74*H54,IF(OR(N54='Drop Down Lists'!$BC$2,N54='Drop Down Lists'!$BC$4),$I$76*H54,IF(OR(N54='Drop Down Lists'!$BC$6,'Drop Down Lists'!$BC$8),$I$77*H54,IF(N54='Drop Down Lists'!$BC$5,$I$75*H54,$D$74*H54)))))))</f>
        <v>0</v>
      </c>
      <c r="F54" s="1105"/>
      <c r="G54" s="1099"/>
      <c r="H54" s="1099"/>
      <c r="I54" s="1099"/>
      <c r="J54" s="1100"/>
      <c r="K54" s="1100">
        <v>0</v>
      </c>
      <c r="L54" s="1100">
        <v>0</v>
      </c>
      <c r="M54" s="1100">
        <v>0</v>
      </c>
      <c r="N54" s="352"/>
      <c r="O54" s="352"/>
      <c r="P54" s="791">
        <f>IF(B54="Carbon Offsets",Q54/'Building Info &amp; Assumptions'!$B$119,H54*CO2_perEleckBTU*kBTUperKWH+I54*CO2_perNatGaskBTU*kBTUperTherm+J54*CO2_perSteamkBTU*kBTUperlbsSteam+K54*CO2_perUtil4kBTU*kBTUperUnit_Util4+L54*CO2_perUtil5kBTU*kBTUperUnit_Util5+M54*CO2_perUtil6kBTU*kBTUperUnit_Util6)</f>
        <v>0</v>
      </c>
      <c r="Q54" s="1101"/>
      <c r="R54" s="319">
        <f t="shared" si="1"/>
        <v>0</v>
      </c>
      <c r="S54" s="1101"/>
      <c r="T54" s="1102"/>
      <c r="U54" s="215">
        <f t="shared" si="48"/>
        <v>0</v>
      </c>
      <c r="V54" s="309">
        <f t="shared" si="49"/>
        <v>0</v>
      </c>
      <c r="W54" s="216" t="str">
        <f t="shared" si="2"/>
        <v>N/A</v>
      </c>
      <c r="X54" s="246"/>
      <c r="Y54" s="15"/>
      <c r="Z54" s="371" t="e">
        <f>IF(OR(AND(#REF!&gt;0,H54&lt;0),AND(H54&gt;0,#REF!=0)),A54,"")</f>
        <v>#REF!</v>
      </c>
      <c r="AA54" s="1103">
        <f t="shared" si="50"/>
        <v>0</v>
      </c>
      <c r="AB54" s="1104">
        <f t="shared" si="45"/>
        <v>0</v>
      </c>
      <c r="AC54" s="1104">
        <f t="shared" si="45"/>
        <v>0</v>
      </c>
      <c r="AD54" s="1104">
        <f t="shared" si="45"/>
        <v>0</v>
      </c>
      <c r="AE54" s="1104">
        <f t="shared" si="45"/>
        <v>0</v>
      </c>
      <c r="AF54" s="1104">
        <f t="shared" si="45"/>
        <v>0</v>
      </c>
      <c r="AG54" s="1104">
        <f t="shared" si="45"/>
        <v>0</v>
      </c>
      <c r="AH54" s="1104">
        <f t="shared" si="45"/>
        <v>0</v>
      </c>
      <c r="AI54" s="1104">
        <f t="shared" si="45"/>
        <v>0</v>
      </c>
      <c r="AJ54" s="1104">
        <f t="shared" si="45"/>
        <v>0</v>
      </c>
      <c r="AK54" s="1104">
        <f t="shared" si="45"/>
        <v>0</v>
      </c>
      <c r="AL54" s="1104">
        <f t="shared" si="46"/>
        <v>0</v>
      </c>
      <c r="AM54" s="1104">
        <f t="shared" si="46"/>
        <v>0</v>
      </c>
      <c r="AN54" s="1104">
        <f t="shared" si="46"/>
        <v>0</v>
      </c>
      <c r="AO54" s="1104">
        <f t="shared" si="46"/>
        <v>0</v>
      </c>
      <c r="AP54" s="1104">
        <f t="shared" si="46"/>
        <v>0</v>
      </c>
      <c r="AQ54" s="1104">
        <f t="shared" si="46"/>
        <v>0</v>
      </c>
      <c r="AR54" s="1104">
        <f t="shared" si="46"/>
        <v>0</v>
      </c>
      <c r="AS54" s="1104">
        <f t="shared" si="46"/>
        <v>0</v>
      </c>
      <c r="AT54" s="1104">
        <f t="shared" si="46"/>
        <v>0</v>
      </c>
      <c r="AU54" s="1104">
        <f t="shared" si="46"/>
        <v>0</v>
      </c>
      <c r="AV54" s="730">
        <f>IFERROR((esc_elect*H54*kBTUperKWH+esc_gas*#REF!*kBTUperTherm+esc_steam*I54*kBTUperlbsSteam+#REF!*esc_chw*kBTUperUnit_Util4+J54*esc_hw*kBTUperUnit_Util5+K54*esc_oil*kBTUperUnit_Util6)/(H54*kBTUperKWH+#REF!*kBTUperTherm+I54*kBTUperlbsSteam+#REF!*kBTUperUnit_Util4+J54*kBTUperUnit_Util5+K54*kBTUperUnit_Util6),0)</f>
        <v>0</v>
      </c>
      <c r="AW54" s="397">
        <f t="shared" si="5"/>
        <v>0</v>
      </c>
      <c r="AX54" s="397">
        <f t="shared" si="6"/>
        <v>0</v>
      </c>
      <c r="AY54" s="397">
        <f t="shared" si="7"/>
        <v>0</v>
      </c>
      <c r="AZ54" s="397">
        <f t="shared" si="8"/>
        <v>0</v>
      </c>
      <c r="BA54" s="397">
        <f t="shared" si="9"/>
        <v>0</v>
      </c>
      <c r="BB54" s="397">
        <f t="shared" si="10"/>
        <v>0</v>
      </c>
      <c r="BC54" s="397">
        <f t="shared" si="11"/>
        <v>0</v>
      </c>
      <c r="BD54" s="397">
        <f t="shared" si="27"/>
        <v>0</v>
      </c>
      <c r="BE54" s="398">
        <f>BD54/'Building Info &amp; Assumptions'!$B$372</f>
        <v>0</v>
      </c>
      <c r="BF54" s="380"/>
      <c r="BG54" s="399">
        <f t="shared" si="12"/>
        <v>0</v>
      </c>
      <c r="BH54" s="399">
        <f t="shared" si="13"/>
        <v>0</v>
      </c>
      <c r="BI54" s="399">
        <f t="shared" si="14"/>
        <v>0</v>
      </c>
      <c r="BJ54" s="399">
        <f t="shared" si="15"/>
        <v>0</v>
      </c>
      <c r="BK54" s="399">
        <f t="shared" si="16"/>
        <v>0</v>
      </c>
      <c r="BL54" s="399">
        <f t="shared" si="17"/>
        <v>0</v>
      </c>
      <c r="BM54" s="399">
        <f t="shared" si="18"/>
        <v>0</v>
      </c>
      <c r="BN54" s="375"/>
      <c r="BO54" s="399">
        <f>IF(OR(N54="Constant Demand",O54="Constant Annual"),D54,$D$77*H54+IF(O54='Drop Down Lists'!$BB$2,$I$73*H54,IF(O54='Drop Down Lists'!$BB$4,$I$74*H54,IF(OR(N54='Drop Down Lists'!$BC$2,N54='Drop Down Lists'!$BC$4),$I$76*H54,IF(OR(N54='Drop Down Lists'!$BC$6,'Drop Down Lists'!$BC$8),$I$77*H54,IF(N54='Drop Down Lists'!$BC$5,$I$75*H54,$D$74*H54))))))</f>
        <v>0</v>
      </c>
      <c r="BP54" s="399">
        <f t="shared" si="19"/>
        <v>0</v>
      </c>
      <c r="BQ54" s="375"/>
      <c r="BR54" s="586">
        <f t="shared" si="20"/>
        <v>0</v>
      </c>
      <c r="BS54" s="401">
        <f t="shared" si="21"/>
        <v>0</v>
      </c>
      <c r="BT54" s="375"/>
      <c r="BU54" s="722" t="e">
        <f>VLOOKUP('Narrative &amp; Measures'!$A54,Alternatives!$C$15:$I$17,7,FALSE)</f>
        <v>#N/A</v>
      </c>
      <c r="BV54" s="722" t="e">
        <f>VLOOKUP('Narrative &amp; Measures'!$A54,Alternatives!$C$38:$I$57,7,FALSE)</f>
        <v>#N/A</v>
      </c>
      <c r="BW54" s="722" t="e">
        <f>VLOOKUP('Narrative &amp; Measures'!$A54,Alternatives!$C$63:$I$82,7,FALSE)</f>
        <v>#N/A</v>
      </c>
      <c r="BX54" s="722" t="e">
        <f>VLOOKUP('Narrative &amp; Measures'!$A54,Alternatives!$C$88:$I$107,7,FALSE)</f>
        <v>#N/A</v>
      </c>
      <c r="BY54" s="479"/>
      <c r="BZ54" s="723" t="e">
        <f t="shared" si="51"/>
        <v>#N/A</v>
      </c>
      <c r="CA54" s="723" t="e">
        <f t="shared" si="52"/>
        <v>#N/A</v>
      </c>
      <c r="CB54" s="723" t="e">
        <f t="shared" si="53"/>
        <v>#N/A</v>
      </c>
      <c r="CC54" s="722" t="e">
        <f t="shared" si="31"/>
        <v>#N/A</v>
      </c>
      <c r="CD54" s="722" t="e">
        <f t="shared" si="32"/>
        <v>#N/A</v>
      </c>
      <c r="CE54" s="722" t="e">
        <f t="shared" si="33"/>
        <v>#N/A</v>
      </c>
      <c r="CF54" s="722" t="e">
        <f t="shared" si="34"/>
        <v>#N/A</v>
      </c>
      <c r="CH54" s="726">
        <f>IF(AND(OR(B54="Deferred Maintenance",B54="Immediate Repairs: Life Safety and Critical"),_xlfn.IFNA(MATCH($A54,Alternatives!$C$15:$C$17,0),0)&gt;0,_xlfn.IFNA(VLOOKUP($A54,Alternatives!$C$15:$H$17,6,0)="Yes",0)),$P54,0)</f>
        <v>0</v>
      </c>
      <c r="CI54" s="726">
        <f>IF(AND(_xlfn.IFNA(MATCH($A54,Alternatives!$C$38:$C$57,0),0)&gt;0,_xlfn.IFNA(VLOOKUP($A54,Alternatives!$C$38:$H$57,6,0)="Yes",0)),$P54,0)</f>
        <v>0</v>
      </c>
      <c r="CJ54" s="726">
        <f>IF(AND(_xlfn.IFNA(MATCH($A54,Alternatives!$C$63:$C$82,0),0)&gt;0,_xlfn.IFNA(VLOOKUP($A54,Alternatives!$C$63:$H$82,6,0)="Yes",0)),$P54,0)</f>
        <v>0</v>
      </c>
      <c r="CK54" s="726">
        <f>IF(AND(_xlfn.IFNA(MATCH($A54,Alternatives!$C$88:$C$107,0),0)&gt;0,_xlfn.IFNA(VLOOKUP($A54,Alternatives!$C$88:$H$107,6,0)="Yes",0)),$P54,0)</f>
        <v>0</v>
      </c>
    </row>
    <row r="55" spans="1:89" s="104" customFormat="1" ht="42" customHeight="1" outlineLevel="1">
      <c r="A55" s="1106"/>
      <c r="B55" s="1097"/>
      <c r="C55" s="1098">
        <f t="shared" si="47"/>
        <v>0</v>
      </c>
      <c r="D55" s="351">
        <f t="shared" si="0"/>
        <v>0</v>
      </c>
      <c r="E55" s="595">
        <f>IF(B55='Drop Down Lists'!$AU$7,I55*Rate_NatGas+J55*Rate_Steam+K55*rate_util4+L55*Rate_Util5+M55*Rate_util6+H55*($I$75-$I$77),IF(OR(N55="Constant Demand",O55="Constant Annual"),D55,I55*Rate_NatGas+G55*Rate_EleckW+J55*Rate_Steam+K55*rate_util4+L55*Rate_Util5+M55*Rate_util6+IF(O55='Drop Down Lists'!$BB$2,$I$73*H55,IF(O55='Drop Down Lists'!$BB$3,$I$74*H55,IF(OR(N55='Drop Down Lists'!$BC$2,N55='Drop Down Lists'!$BC$4),$I$76*H55,IF(OR(N55='Drop Down Lists'!$BC$6,'Drop Down Lists'!$BC$8),$I$77*H55,IF(N55='Drop Down Lists'!$BC$5,$I$75*H55,$D$74*H55)))))))</f>
        <v>0</v>
      </c>
      <c r="F55" s="1105"/>
      <c r="G55" s="1099"/>
      <c r="H55" s="1099"/>
      <c r="I55" s="1099"/>
      <c r="J55" s="1100"/>
      <c r="K55" s="1100">
        <v>0</v>
      </c>
      <c r="L55" s="1100">
        <v>0</v>
      </c>
      <c r="M55" s="1100">
        <v>0</v>
      </c>
      <c r="N55" s="352"/>
      <c r="O55" s="352"/>
      <c r="P55" s="791">
        <f>IF(B55="Carbon Offsets",Q55/'Building Info &amp; Assumptions'!$B$119,H55*CO2_perEleckBTU*kBTUperKWH+I55*CO2_perNatGaskBTU*kBTUperTherm+J55*CO2_perSteamkBTU*kBTUperlbsSteam+K55*CO2_perUtil4kBTU*kBTUperUnit_Util4+L55*CO2_perUtil5kBTU*kBTUperUnit_Util5+M55*CO2_perUtil6kBTU*kBTUperUnit_Util6)</f>
        <v>0</v>
      </c>
      <c r="Q55" s="1101"/>
      <c r="R55" s="319">
        <f t="shared" si="1"/>
        <v>0</v>
      </c>
      <c r="S55" s="1101"/>
      <c r="T55" s="1102"/>
      <c r="U55" s="215">
        <f t="shared" si="48"/>
        <v>0</v>
      </c>
      <c r="V55" s="309">
        <f t="shared" si="49"/>
        <v>0</v>
      </c>
      <c r="W55" s="216" t="str">
        <f t="shared" si="2"/>
        <v>N/A</v>
      </c>
      <c r="X55" s="246"/>
      <c r="Y55" s="15"/>
      <c r="Z55" s="371" t="e">
        <f>IF(OR(AND(#REF!&gt;0,H55&lt;0),AND(H55&gt;0,#REF!=0)),A55,"")</f>
        <v>#REF!</v>
      </c>
      <c r="AA55" s="1103">
        <f t="shared" si="50"/>
        <v>0</v>
      </c>
      <c r="AB55" s="1104">
        <f t="shared" si="45"/>
        <v>0</v>
      </c>
      <c r="AC55" s="1104">
        <f t="shared" si="45"/>
        <v>0</v>
      </c>
      <c r="AD55" s="1104">
        <f t="shared" si="45"/>
        <v>0</v>
      </c>
      <c r="AE55" s="1104">
        <f t="shared" si="45"/>
        <v>0</v>
      </c>
      <c r="AF55" s="1104">
        <f t="shared" si="45"/>
        <v>0</v>
      </c>
      <c r="AG55" s="1104">
        <f t="shared" si="45"/>
        <v>0</v>
      </c>
      <c r="AH55" s="1104">
        <f t="shared" si="45"/>
        <v>0</v>
      </c>
      <c r="AI55" s="1104">
        <f t="shared" si="45"/>
        <v>0</v>
      </c>
      <c r="AJ55" s="1104">
        <f t="shared" si="45"/>
        <v>0</v>
      </c>
      <c r="AK55" s="1104">
        <f t="shared" si="45"/>
        <v>0</v>
      </c>
      <c r="AL55" s="1104">
        <f t="shared" si="46"/>
        <v>0</v>
      </c>
      <c r="AM55" s="1104">
        <f t="shared" si="46"/>
        <v>0</v>
      </c>
      <c r="AN55" s="1104">
        <f t="shared" si="46"/>
        <v>0</v>
      </c>
      <c r="AO55" s="1104">
        <f t="shared" si="46"/>
        <v>0</v>
      </c>
      <c r="AP55" s="1104">
        <f t="shared" si="46"/>
        <v>0</v>
      </c>
      <c r="AQ55" s="1104">
        <f t="shared" si="46"/>
        <v>0</v>
      </c>
      <c r="AR55" s="1104">
        <f t="shared" si="46"/>
        <v>0</v>
      </c>
      <c r="AS55" s="1104">
        <f t="shared" si="46"/>
        <v>0</v>
      </c>
      <c r="AT55" s="1104">
        <f t="shared" si="46"/>
        <v>0</v>
      </c>
      <c r="AU55" s="1104">
        <f t="shared" si="46"/>
        <v>0</v>
      </c>
      <c r="AV55" s="730">
        <f>IFERROR((esc_elect*H55*kBTUperKWH+esc_gas*#REF!*kBTUperTherm+esc_steam*I55*kBTUperlbsSteam+#REF!*esc_chw*kBTUperUnit_Util4+J55*esc_hw*kBTUperUnit_Util5+K55*esc_oil*kBTUperUnit_Util6)/(H55*kBTUperKWH+#REF!*kBTUperTherm+I55*kBTUperlbsSteam+#REF!*kBTUperUnit_Util4+J55*kBTUperUnit_Util5+K55*kBTUperUnit_Util6),0)</f>
        <v>0</v>
      </c>
      <c r="AW55" s="397">
        <f t="shared" si="5"/>
        <v>0</v>
      </c>
      <c r="AX55" s="397">
        <f t="shared" si="6"/>
        <v>0</v>
      </c>
      <c r="AY55" s="397">
        <f t="shared" si="7"/>
        <v>0</v>
      </c>
      <c r="AZ55" s="397">
        <f t="shared" si="8"/>
        <v>0</v>
      </c>
      <c r="BA55" s="397">
        <f t="shared" si="9"/>
        <v>0</v>
      </c>
      <c r="BB55" s="397">
        <f t="shared" si="10"/>
        <v>0</v>
      </c>
      <c r="BC55" s="397">
        <f t="shared" si="11"/>
        <v>0</v>
      </c>
      <c r="BD55" s="397">
        <f t="shared" si="27"/>
        <v>0</v>
      </c>
      <c r="BE55" s="398">
        <f>BD55/'Building Info &amp; Assumptions'!$B$372</f>
        <v>0</v>
      </c>
      <c r="BF55" s="380"/>
      <c r="BG55" s="399">
        <f t="shared" si="12"/>
        <v>0</v>
      </c>
      <c r="BH55" s="399">
        <f t="shared" si="13"/>
        <v>0</v>
      </c>
      <c r="BI55" s="399">
        <f t="shared" si="14"/>
        <v>0</v>
      </c>
      <c r="BJ55" s="399">
        <f t="shared" si="15"/>
        <v>0</v>
      </c>
      <c r="BK55" s="399">
        <f t="shared" si="16"/>
        <v>0</v>
      </c>
      <c r="BL55" s="399">
        <f t="shared" si="17"/>
        <v>0</v>
      </c>
      <c r="BM55" s="399">
        <f t="shared" si="18"/>
        <v>0</v>
      </c>
      <c r="BN55" s="375"/>
      <c r="BO55" s="399">
        <f>IF(OR(N55="Constant Demand",O55="Constant Annual"),D55,$D$77*H55+IF(O55='Drop Down Lists'!$BB$2,$I$73*H55,IF(O55='Drop Down Lists'!$BB$4,$I$74*H55,IF(OR(N55='Drop Down Lists'!$BC$2,N55='Drop Down Lists'!$BC$4),$I$76*H55,IF(OR(N55='Drop Down Lists'!$BC$6,'Drop Down Lists'!$BC$8),$I$77*H55,IF(N55='Drop Down Lists'!$BC$5,$I$75*H55,$D$74*H55))))))</f>
        <v>0</v>
      </c>
      <c r="BP55" s="399">
        <f t="shared" si="19"/>
        <v>0</v>
      </c>
      <c r="BQ55" s="375"/>
      <c r="BR55" s="586">
        <f t="shared" si="20"/>
        <v>0</v>
      </c>
      <c r="BS55" s="401">
        <f t="shared" si="21"/>
        <v>0</v>
      </c>
      <c r="BT55" s="375"/>
      <c r="BU55" s="722" t="e">
        <f>VLOOKUP('Narrative &amp; Measures'!$A55,Alternatives!$C$15:$I$17,7,FALSE)</f>
        <v>#N/A</v>
      </c>
      <c r="BV55" s="722" t="e">
        <f>VLOOKUP('Narrative &amp; Measures'!$A55,Alternatives!$C$38:$I$57,7,FALSE)</f>
        <v>#N/A</v>
      </c>
      <c r="BW55" s="722" t="e">
        <f>VLOOKUP('Narrative &amp; Measures'!$A55,Alternatives!$C$63:$I$82,7,FALSE)</f>
        <v>#N/A</v>
      </c>
      <c r="BX55" s="722" t="e">
        <f>VLOOKUP('Narrative &amp; Measures'!$A55,Alternatives!$C$88:$I$107,7,FALSE)</f>
        <v>#N/A</v>
      </c>
      <c r="BY55" s="479"/>
      <c r="BZ55" s="723" t="e">
        <f t="shared" si="51"/>
        <v>#N/A</v>
      </c>
      <c r="CA55" s="723" t="e">
        <f t="shared" si="52"/>
        <v>#N/A</v>
      </c>
      <c r="CB55" s="723" t="e">
        <f t="shared" si="53"/>
        <v>#N/A</v>
      </c>
      <c r="CC55" s="722" t="e">
        <f t="shared" si="31"/>
        <v>#N/A</v>
      </c>
      <c r="CD55" s="722" t="e">
        <f t="shared" si="32"/>
        <v>#N/A</v>
      </c>
      <c r="CE55" s="722" t="e">
        <f t="shared" si="33"/>
        <v>#N/A</v>
      </c>
      <c r="CF55" s="722" t="e">
        <f t="shared" si="34"/>
        <v>#N/A</v>
      </c>
      <c r="CH55" s="726">
        <f>IF(AND(OR(B55="Deferred Maintenance",B55="Immediate Repairs: Life Safety and Critical"),_xlfn.IFNA(MATCH($A55,Alternatives!$C$15:$C$17,0),0)&gt;0,_xlfn.IFNA(VLOOKUP($A55,Alternatives!$C$15:$H$17,6,0)="Yes",0)),$P55,0)</f>
        <v>0</v>
      </c>
      <c r="CI55" s="726">
        <f>IF(AND(_xlfn.IFNA(MATCH($A55,Alternatives!$C$38:$C$57,0),0)&gt;0,_xlfn.IFNA(VLOOKUP($A55,Alternatives!$C$38:$H$57,6,0)="Yes",0)),$P55,0)</f>
        <v>0</v>
      </c>
      <c r="CJ55" s="726">
        <f>IF(AND(_xlfn.IFNA(MATCH($A55,Alternatives!$C$63:$C$82,0),0)&gt;0,_xlfn.IFNA(VLOOKUP($A55,Alternatives!$C$63:$H$82,6,0)="Yes",0)),$P55,0)</f>
        <v>0</v>
      </c>
      <c r="CK55" s="726">
        <f>IF(AND(_xlfn.IFNA(MATCH($A55,Alternatives!$C$88:$C$107,0),0)&gt;0,_xlfn.IFNA(VLOOKUP($A55,Alternatives!$C$88:$H$107,6,0)="Yes",0)),$P55,0)</f>
        <v>0</v>
      </c>
    </row>
    <row r="56" spans="1:89" s="104" customFormat="1" ht="42" customHeight="1" outlineLevel="1">
      <c r="A56" s="1106"/>
      <c r="B56" s="1097"/>
      <c r="C56" s="1098">
        <f t="shared" si="47"/>
        <v>0</v>
      </c>
      <c r="D56" s="351">
        <f t="shared" si="0"/>
        <v>0</v>
      </c>
      <c r="E56" s="595">
        <f>IF(B56='Drop Down Lists'!$AU$7,I56*Rate_NatGas+J56*Rate_Steam+K56*rate_util4+L56*Rate_Util5+M56*Rate_util6+H56*($I$75-$I$77),IF(OR(N56="Constant Demand",O56="Constant Annual"),D56,I56*Rate_NatGas+G56*Rate_EleckW+J56*Rate_Steam+K56*rate_util4+L56*Rate_Util5+M56*Rate_util6+IF(O56='Drop Down Lists'!$BB$2,$I$73*H56,IF(O56='Drop Down Lists'!$BB$3,$I$74*H56,IF(OR(N56='Drop Down Lists'!$BC$2,N56='Drop Down Lists'!$BC$4),$I$76*H56,IF(OR(N56='Drop Down Lists'!$BC$6,'Drop Down Lists'!$BC$8),$I$77*H56,IF(N56='Drop Down Lists'!$BC$5,$I$75*H56,$D$74*H56)))))))</f>
        <v>0</v>
      </c>
      <c r="F56" s="1105"/>
      <c r="G56" s="1099"/>
      <c r="H56" s="1099"/>
      <c r="I56" s="1099"/>
      <c r="J56" s="1100"/>
      <c r="K56" s="1100">
        <v>0</v>
      </c>
      <c r="L56" s="1100">
        <v>0</v>
      </c>
      <c r="M56" s="1100">
        <v>0</v>
      </c>
      <c r="N56" s="352"/>
      <c r="O56" s="352"/>
      <c r="P56" s="791">
        <f>IF(B56="Carbon Offsets",Q56/'Building Info &amp; Assumptions'!$B$119,H56*CO2_perEleckBTU*kBTUperKWH+I56*CO2_perNatGaskBTU*kBTUperTherm+J56*CO2_perSteamkBTU*kBTUperlbsSteam+K56*CO2_perUtil4kBTU*kBTUperUnit_Util4+L56*CO2_perUtil5kBTU*kBTUperUnit_Util5+M56*CO2_perUtil6kBTU*kBTUperUnit_Util6)</f>
        <v>0</v>
      </c>
      <c r="Q56" s="1101"/>
      <c r="R56" s="319">
        <f t="shared" si="1"/>
        <v>0</v>
      </c>
      <c r="S56" s="1101"/>
      <c r="T56" s="1102"/>
      <c r="U56" s="215">
        <f t="shared" si="48"/>
        <v>0</v>
      </c>
      <c r="V56" s="309">
        <f t="shared" si="49"/>
        <v>0</v>
      </c>
      <c r="W56" s="216" t="str">
        <f t="shared" si="2"/>
        <v>N/A</v>
      </c>
      <c r="X56" s="246"/>
      <c r="Y56" s="15"/>
      <c r="Z56" s="371" t="e">
        <f>IF(OR(AND(#REF!&gt;0,H56&lt;0),AND(H56&gt;0,#REF!=0)),A56,"")</f>
        <v>#REF!</v>
      </c>
      <c r="AA56" s="1103">
        <f t="shared" si="50"/>
        <v>0</v>
      </c>
      <c r="AB56" s="1104">
        <f t="shared" si="45"/>
        <v>0</v>
      </c>
      <c r="AC56" s="1104">
        <f t="shared" si="45"/>
        <v>0</v>
      </c>
      <c r="AD56" s="1104">
        <f t="shared" si="45"/>
        <v>0</v>
      </c>
      <c r="AE56" s="1104">
        <f t="shared" si="45"/>
        <v>0</v>
      </c>
      <c r="AF56" s="1104">
        <f t="shared" si="45"/>
        <v>0</v>
      </c>
      <c r="AG56" s="1104">
        <f t="shared" si="45"/>
        <v>0</v>
      </c>
      <c r="AH56" s="1104">
        <f t="shared" si="45"/>
        <v>0</v>
      </c>
      <c r="AI56" s="1104">
        <f t="shared" si="45"/>
        <v>0</v>
      </c>
      <c r="AJ56" s="1104">
        <f t="shared" si="45"/>
        <v>0</v>
      </c>
      <c r="AK56" s="1104">
        <f t="shared" si="45"/>
        <v>0</v>
      </c>
      <c r="AL56" s="1104">
        <f t="shared" si="46"/>
        <v>0</v>
      </c>
      <c r="AM56" s="1104">
        <f t="shared" si="46"/>
        <v>0</v>
      </c>
      <c r="AN56" s="1104">
        <f t="shared" si="46"/>
        <v>0</v>
      </c>
      <c r="AO56" s="1104">
        <f t="shared" si="46"/>
        <v>0</v>
      </c>
      <c r="AP56" s="1104">
        <f t="shared" si="46"/>
        <v>0</v>
      </c>
      <c r="AQ56" s="1104">
        <f t="shared" si="46"/>
        <v>0</v>
      </c>
      <c r="AR56" s="1104">
        <f t="shared" si="46"/>
        <v>0</v>
      </c>
      <c r="AS56" s="1104">
        <f t="shared" si="46"/>
        <v>0</v>
      </c>
      <c r="AT56" s="1104">
        <f t="shared" si="46"/>
        <v>0</v>
      </c>
      <c r="AU56" s="1104">
        <f t="shared" si="46"/>
        <v>0</v>
      </c>
      <c r="AV56" s="730">
        <f>IFERROR((esc_elect*H56*kBTUperKWH+esc_gas*#REF!*kBTUperTherm+esc_steam*I56*kBTUperlbsSteam+#REF!*esc_chw*kBTUperUnit_Util4+J56*esc_hw*kBTUperUnit_Util5+K56*esc_oil*kBTUperUnit_Util6)/(H56*kBTUperKWH+#REF!*kBTUperTherm+I56*kBTUperlbsSteam+#REF!*kBTUperUnit_Util4+J56*kBTUperUnit_Util5+K56*kBTUperUnit_Util6),0)</f>
        <v>0</v>
      </c>
      <c r="AW56" s="397">
        <f t="shared" si="5"/>
        <v>0</v>
      </c>
      <c r="AX56" s="397">
        <f t="shared" si="6"/>
        <v>0</v>
      </c>
      <c r="AY56" s="397">
        <f t="shared" si="7"/>
        <v>0</v>
      </c>
      <c r="AZ56" s="397">
        <f t="shared" si="8"/>
        <v>0</v>
      </c>
      <c r="BA56" s="397">
        <f t="shared" si="9"/>
        <v>0</v>
      </c>
      <c r="BB56" s="397">
        <f t="shared" si="10"/>
        <v>0</v>
      </c>
      <c r="BC56" s="397">
        <f t="shared" si="11"/>
        <v>0</v>
      </c>
      <c r="BD56" s="397">
        <f t="shared" si="27"/>
        <v>0</v>
      </c>
      <c r="BE56" s="398">
        <f>BD56/'Building Info &amp; Assumptions'!$B$372</f>
        <v>0</v>
      </c>
      <c r="BF56" s="380"/>
      <c r="BG56" s="399">
        <f t="shared" si="12"/>
        <v>0</v>
      </c>
      <c r="BH56" s="399">
        <f t="shared" si="13"/>
        <v>0</v>
      </c>
      <c r="BI56" s="399">
        <f t="shared" si="14"/>
        <v>0</v>
      </c>
      <c r="BJ56" s="399">
        <f t="shared" si="15"/>
        <v>0</v>
      </c>
      <c r="BK56" s="399">
        <f t="shared" si="16"/>
        <v>0</v>
      </c>
      <c r="BL56" s="399">
        <f t="shared" si="17"/>
        <v>0</v>
      </c>
      <c r="BM56" s="399">
        <f t="shared" si="18"/>
        <v>0</v>
      </c>
      <c r="BN56" s="375"/>
      <c r="BO56" s="399">
        <f>IF(OR(N56="Constant Demand",O56="Constant Annual"),D56,$D$77*H56+IF(O56='Drop Down Lists'!$BB$2,$I$73*H56,IF(O56='Drop Down Lists'!$BB$4,$I$74*H56,IF(OR(N56='Drop Down Lists'!$BC$2,N56='Drop Down Lists'!$BC$4),$I$76*H56,IF(OR(N56='Drop Down Lists'!$BC$6,'Drop Down Lists'!$BC$8),$I$77*H56,IF(N56='Drop Down Lists'!$BC$5,$I$75*H56,$D$74*H56))))))</f>
        <v>0</v>
      </c>
      <c r="BP56" s="399">
        <f t="shared" si="19"/>
        <v>0</v>
      </c>
      <c r="BQ56" s="375"/>
      <c r="BR56" s="586">
        <f t="shared" si="20"/>
        <v>0</v>
      </c>
      <c r="BS56" s="401">
        <f t="shared" si="21"/>
        <v>0</v>
      </c>
      <c r="BT56" s="375"/>
      <c r="BU56" s="722" t="e">
        <f>VLOOKUP('Narrative &amp; Measures'!$A56,Alternatives!$C$15:$I$17,7,FALSE)</f>
        <v>#N/A</v>
      </c>
      <c r="BV56" s="722" t="e">
        <f>VLOOKUP('Narrative &amp; Measures'!$A56,Alternatives!$C$38:$I$57,7,FALSE)</f>
        <v>#N/A</v>
      </c>
      <c r="BW56" s="722" t="e">
        <f>VLOOKUP('Narrative &amp; Measures'!$A56,Alternatives!$C$63:$I$82,7,FALSE)</f>
        <v>#N/A</v>
      </c>
      <c r="BX56" s="722" t="e">
        <f>VLOOKUP('Narrative &amp; Measures'!$A56,Alternatives!$C$88:$I$107,7,FALSE)</f>
        <v>#N/A</v>
      </c>
      <c r="BY56" s="479"/>
      <c r="BZ56" s="723" t="e">
        <f t="shared" si="51"/>
        <v>#N/A</v>
      </c>
      <c r="CA56" s="723" t="e">
        <f t="shared" si="52"/>
        <v>#N/A</v>
      </c>
      <c r="CB56" s="723" t="e">
        <f t="shared" si="53"/>
        <v>#N/A</v>
      </c>
      <c r="CC56" s="722" t="e">
        <f t="shared" si="31"/>
        <v>#N/A</v>
      </c>
      <c r="CD56" s="722" t="e">
        <f t="shared" si="32"/>
        <v>#N/A</v>
      </c>
      <c r="CE56" s="722" t="e">
        <f t="shared" si="33"/>
        <v>#N/A</v>
      </c>
      <c r="CF56" s="722" t="e">
        <f t="shared" si="34"/>
        <v>#N/A</v>
      </c>
      <c r="CH56" s="726">
        <f>IF(AND(OR(B56="Deferred Maintenance",B56="Immediate Repairs: Life Safety and Critical"),_xlfn.IFNA(MATCH($A56,Alternatives!$C$15:$C$17,0),0)&gt;0,_xlfn.IFNA(VLOOKUP($A56,Alternatives!$C$15:$H$17,6,0)="Yes",0)),$P56,0)</f>
        <v>0</v>
      </c>
      <c r="CI56" s="726">
        <f>IF(AND(_xlfn.IFNA(MATCH($A56,Alternatives!$C$38:$C$57,0),0)&gt;0,_xlfn.IFNA(VLOOKUP($A56,Alternatives!$C$38:$H$57,6,0)="Yes",0)),$P56,0)</f>
        <v>0</v>
      </c>
      <c r="CJ56" s="726">
        <f>IF(AND(_xlfn.IFNA(MATCH($A56,Alternatives!$C$63:$C$82,0),0)&gt;0,_xlfn.IFNA(VLOOKUP($A56,Alternatives!$C$63:$H$82,6,0)="Yes",0)),$P56,0)</f>
        <v>0</v>
      </c>
      <c r="CK56" s="726">
        <f>IF(AND(_xlfn.IFNA(MATCH($A56,Alternatives!$C$88:$C$107,0),0)&gt;0,_xlfn.IFNA(VLOOKUP($A56,Alternatives!$C$88:$H$107,6,0)="Yes",0)),$P56,0)</f>
        <v>0</v>
      </c>
    </row>
    <row r="57" spans="1:89" s="104" customFormat="1" ht="42" customHeight="1" outlineLevel="1">
      <c r="A57" s="1106"/>
      <c r="B57" s="1097"/>
      <c r="C57" s="1098">
        <f t="shared" si="23"/>
        <v>0</v>
      </c>
      <c r="D57" s="351">
        <f t="shared" si="0"/>
        <v>0</v>
      </c>
      <c r="E57" s="595">
        <f>IF(B57='Drop Down Lists'!$AU$7,I57*Rate_NatGas+J57*Rate_Steam+K57*rate_util4+L57*Rate_Util5+M57*Rate_util6+H57*($I$75-$I$77),IF(OR(N57="Constant Demand",O57="Constant Annual"),D57,I57*Rate_NatGas+G57*Rate_EleckW+J57*Rate_Steam+K57*rate_util4+L57*Rate_Util5+M57*Rate_util6+IF(O57='Drop Down Lists'!$BB$2,$I$73*H57,IF(O57='Drop Down Lists'!$BB$3,$I$74*H57,IF(OR(N57='Drop Down Lists'!$BC$2,N57='Drop Down Lists'!$BC$4),$I$76*H57,IF(OR(N57='Drop Down Lists'!$BC$6,'Drop Down Lists'!$BC$8),$I$77*H57,IF(N57='Drop Down Lists'!$BC$5,$I$75*H57,$D$74*H57)))))))</f>
        <v>0</v>
      </c>
      <c r="F57" s="1105"/>
      <c r="G57" s="1099"/>
      <c r="H57" s="1099"/>
      <c r="I57" s="1099"/>
      <c r="J57" s="1100"/>
      <c r="K57" s="1100">
        <v>0</v>
      </c>
      <c r="L57" s="1100">
        <v>0</v>
      </c>
      <c r="M57" s="1100">
        <v>0</v>
      </c>
      <c r="N57" s="352"/>
      <c r="O57" s="352"/>
      <c r="P57" s="791">
        <f>IF(B57="Carbon Offsets",Q57/'Building Info &amp; Assumptions'!$B$119,H57*CO2_perEleckBTU*kBTUperKWH+I57*CO2_perNatGaskBTU*kBTUperTherm+J57*CO2_perSteamkBTU*kBTUperlbsSteam+K57*CO2_perUtil4kBTU*kBTUperUnit_Util4+L57*CO2_perUtil5kBTU*kBTUperUnit_Util5+M57*CO2_perUtil6kBTU*kBTUperUnit_Util6)</f>
        <v>0</v>
      </c>
      <c r="Q57" s="1101"/>
      <c r="R57" s="319">
        <f t="shared" si="1"/>
        <v>0</v>
      </c>
      <c r="S57" s="1101"/>
      <c r="T57" s="1102"/>
      <c r="U57" s="215">
        <f t="shared" si="37"/>
        <v>0</v>
      </c>
      <c r="V57" s="309">
        <f t="shared" si="38"/>
        <v>0</v>
      </c>
      <c r="W57" s="216" t="str">
        <f t="shared" si="2"/>
        <v>N/A</v>
      </c>
      <c r="X57" s="246"/>
      <c r="Y57" s="15"/>
      <c r="Z57" s="371" t="e">
        <f>IF(OR(AND(#REF!&gt;0,H57&lt;0),AND(H57&gt;0,#REF!=0)),A57,"")</f>
        <v>#REF!</v>
      </c>
      <c r="AA57" s="1103">
        <f t="shared" ref="AA57:AA66" si="54">U57</f>
        <v>0</v>
      </c>
      <c r="AB57" s="1104">
        <f t="shared" si="45"/>
        <v>0</v>
      </c>
      <c r="AC57" s="1104">
        <f t="shared" si="45"/>
        <v>0</v>
      </c>
      <c r="AD57" s="1104">
        <f t="shared" si="45"/>
        <v>0</v>
      </c>
      <c r="AE57" s="1104">
        <f t="shared" si="45"/>
        <v>0</v>
      </c>
      <c r="AF57" s="1104">
        <f t="shared" si="45"/>
        <v>0</v>
      </c>
      <c r="AG57" s="1104">
        <f t="shared" si="45"/>
        <v>0</v>
      </c>
      <c r="AH57" s="1104">
        <f t="shared" si="45"/>
        <v>0</v>
      </c>
      <c r="AI57" s="1104">
        <f t="shared" si="45"/>
        <v>0</v>
      </c>
      <c r="AJ57" s="1104">
        <f t="shared" si="45"/>
        <v>0</v>
      </c>
      <c r="AK57" s="1104">
        <f t="shared" si="45"/>
        <v>0</v>
      </c>
      <c r="AL57" s="1104">
        <f t="shared" si="46"/>
        <v>0</v>
      </c>
      <c r="AM57" s="1104">
        <f t="shared" si="46"/>
        <v>0</v>
      </c>
      <c r="AN57" s="1104">
        <f t="shared" si="46"/>
        <v>0</v>
      </c>
      <c r="AO57" s="1104">
        <f t="shared" si="46"/>
        <v>0</v>
      </c>
      <c r="AP57" s="1104">
        <f t="shared" si="46"/>
        <v>0</v>
      </c>
      <c r="AQ57" s="1104">
        <f t="shared" si="46"/>
        <v>0</v>
      </c>
      <c r="AR57" s="1104">
        <f t="shared" si="46"/>
        <v>0</v>
      </c>
      <c r="AS57" s="1104">
        <f t="shared" si="46"/>
        <v>0</v>
      </c>
      <c r="AT57" s="1104">
        <f t="shared" si="46"/>
        <v>0</v>
      </c>
      <c r="AU57" s="1104">
        <f t="shared" si="46"/>
        <v>0</v>
      </c>
      <c r="AV57" s="730">
        <f>IFERROR((esc_elect*H57*kBTUperKWH+esc_gas*#REF!*kBTUperTherm+esc_steam*I57*kBTUperlbsSteam+#REF!*esc_chw*kBTUperUnit_Util4+J57*esc_hw*kBTUperUnit_Util5+K57*esc_oil*kBTUperUnit_Util6)/(H57*kBTUperKWH+#REF!*kBTUperTherm+I57*kBTUperlbsSteam+#REF!*kBTUperUnit_Util4+J57*kBTUperUnit_Util5+K57*kBTUperUnit_Util6),0)</f>
        <v>0</v>
      </c>
      <c r="AW57" s="397">
        <f t="shared" si="5"/>
        <v>0</v>
      </c>
      <c r="AX57" s="397">
        <f t="shared" si="6"/>
        <v>0</v>
      </c>
      <c r="AY57" s="397">
        <f t="shared" si="7"/>
        <v>0</v>
      </c>
      <c r="AZ57" s="397">
        <f t="shared" si="8"/>
        <v>0</v>
      </c>
      <c r="BA57" s="397">
        <f t="shared" si="9"/>
        <v>0</v>
      </c>
      <c r="BB57" s="397">
        <f t="shared" si="10"/>
        <v>0</v>
      </c>
      <c r="BC57" s="397">
        <f t="shared" si="11"/>
        <v>0</v>
      </c>
      <c r="BD57" s="397">
        <f t="shared" si="27"/>
        <v>0</v>
      </c>
      <c r="BE57" s="398">
        <f>BD57/'Building Info &amp; Assumptions'!$B$372</f>
        <v>0</v>
      </c>
      <c r="BF57" s="380"/>
      <c r="BG57" s="399">
        <f t="shared" si="12"/>
        <v>0</v>
      </c>
      <c r="BH57" s="399">
        <f t="shared" si="13"/>
        <v>0</v>
      </c>
      <c r="BI57" s="399">
        <f t="shared" si="14"/>
        <v>0</v>
      </c>
      <c r="BJ57" s="399">
        <f t="shared" si="15"/>
        <v>0</v>
      </c>
      <c r="BK57" s="399">
        <f t="shared" si="16"/>
        <v>0</v>
      </c>
      <c r="BL57" s="399">
        <f t="shared" si="17"/>
        <v>0</v>
      </c>
      <c r="BM57" s="399">
        <f t="shared" si="18"/>
        <v>0</v>
      </c>
      <c r="BN57" s="375"/>
      <c r="BO57" s="399">
        <f>IF(OR(N57="Constant Demand",O57="Constant Annual"),D57,$D$77*H57+IF(O57='Drop Down Lists'!$BB$2,$I$73*H57,IF(O57='Drop Down Lists'!$BB$4,$I$74*H57,IF(OR(N57='Drop Down Lists'!$BC$2,N57='Drop Down Lists'!$BC$4),$I$76*H57,IF(OR(N57='Drop Down Lists'!$BC$6,'Drop Down Lists'!$BC$8),$I$77*H57,IF(N57='Drop Down Lists'!$BC$5,$I$75*H57,$D$74*H57))))))</f>
        <v>0</v>
      </c>
      <c r="BP57" s="399">
        <f t="shared" si="19"/>
        <v>0</v>
      </c>
      <c r="BQ57" s="375"/>
      <c r="BR57" s="586">
        <f t="shared" si="20"/>
        <v>0</v>
      </c>
      <c r="BS57" s="401">
        <f t="shared" si="21"/>
        <v>0</v>
      </c>
      <c r="BT57" s="375"/>
      <c r="BU57" s="722" t="e">
        <f>VLOOKUP('Narrative &amp; Measures'!$A57,Alternatives!$C$15:$I$17,7,FALSE)</f>
        <v>#N/A</v>
      </c>
      <c r="BV57" s="722" t="e">
        <f>VLOOKUP('Narrative &amp; Measures'!$A57,Alternatives!$C$38:$I$57,7,FALSE)</f>
        <v>#N/A</v>
      </c>
      <c r="BW57" s="722" t="e">
        <f>VLOOKUP('Narrative &amp; Measures'!$A57,Alternatives!$C$63:$I$82,7,FALSE)</f>
        <v>#N/A</v>
      </c>
      <c r="BX57" s="722" t="e">
        <f>VLOOKUP('Narrative &amp; Measures'!$A57,Alternatives!$C$88:$I$107,7,FALSE)</f>
        <v>#N/A</v>
      </c>
      <c r="BY57" s="479"/>
      <c r="BZ57" s="723" t="e">
        <f t="shared" ref="BZ57:BZ66" si="55">BV57+$T57</f>
        <v>#N/A</v>
      </c>
      <c r="CA57" s="723" t="e">
        <f t="shared" ref="CA57:CA66" si="56">BW57+$T57</f>
        <v>#N/A</v>
      </c>
      <c r="CB57" s="723" t="e">
        <f t="shared" ref="CB57:CB66" si="57">BX57+$T57</f>
        <v>#N/A</v>
      </c>
      <c r="CC57" s="722" t="e">
        <f t="shared" si="31"/>
        <v>#N/A</v>
      </c>
      <c r="CD57" s="722" t="e">
        <f t="shared" si="32"/>
        <v>#N/A</v>
      </c>
      <c r="CE57" s="722" t="e">
        <f t="shared" si="33"/>
        <v>#N/A</v>
      </c>
      <c r="CF57" s="722" t="e">
        <f t="shared" si="34"/>
        <v>#N/A</v>
      </c>
      <c r="CH57" s="726">
        <f>IF(AND(OR(B57="Deferred Maintenance",B57="Immediate Repairs: Life Safety and Critical"),_xlfn.IFNA(MATCH($A57,Alternatives!$C$15:$C$17,0),0)&gt;0,_xlfn.IFNA(VLOOKUP($A57,Alternatives!$C$15:$H$17,6,0)="Yes",0)),$P57,0)</f>
        <v>0</v>
      </c>
      <c r="CI57" s="726">
        <f>IF(AND(_xlfn.IFNA(MATCH($A57,Alternatives!$C$38:$C$57,0),0)&gt;0,_xlfn.IFNA(VLOOKUP($A57,Alternatives!$C$38:$H$57,6,0)="Yes",0)),$P57,0)</f>
        <v>0</v>
      </c>
      <c r="CJ57" s="726">
        <f>IF(AND(_xlfn.IFNA(MATCH($A57,Alternatives!$C$63:$C$82,0),0)&gt;0,_xlfn.IFNA(VLOOKUP($A57,Alternatives!$C$63:$H$82,6,0)="Yes",0)),$P57,0)</f>
        <v>0</v>
      </c>
      <c r="CK57" s="726">
        <f>IF(AND(_xlfn.IFNA(MATCH($A57,Alternatives!$C$88:$C$107,0),0)&gt;0,_xlfn.IFNA(VLOOKUP($A57,Alternatives!$C$88:$H$107,6,0)="Yes",0)),$P57,0)</f>
        <v>0</v>
      </c>
    </row>
    <row r="58" spans="1:89" s="104" customFormat="1" ht="42" customHeight="1" outlineLevel="1">
      <c r="A58" s="1106"/>
      <c r="B58" s="1097"/>
      <c r="C58" s="1098">
        <f t="shared" ref="C58:C65" si="58">IF(B58="Storage and Load Shifting",E58,MAX(D58,E58))+F58</f>
        <v>0</v>
      </c>
      <c r="D58" s="351">
        <f t="shared" si="0"/>
        <v>0</v>
      </c>
      <c r="E58" s="595">
        <f>IF(B58='Drop Down Lists'!$AU$7,I58*Rate_NatGas+J58*Rate_Steam+K58*rate_util4+L58*Rate_Util5+M58*Rate_util6+H58*($I$75-$I$77),IF(OR(N58="Constant Demand",O58="Constant Annual"),D58,I58*Rate_NatGas+G58*Rate_EleckW+J58*Rate_Steam+K58*rate_util4+L58*Rate_Util5+M58*Rate_util6+IF(O58='Drop Down Lists'!$BB$2,$I$73*H58,IF(O58='Drop Down Lists'!$BB$3,$I$74*H58,IF(OR(N58='Drop Down Lists'!$BC$2,N58='Drop Down Lists'!$BC$4),$I$76*H58,IF(OR(N58='Drop Down Lists'!$BC$6,'Drop Down Lists'!$BC$8),$I$77*H58,IF(N58='Drop Down Lists'!$BC$5,$I$75*H58,$D$74*H58)))))))</f>
        <v>0</v>
      </c>
      <c r="F58" s="1105"/>
      <c r="G58" s="1099"/>
      <c r="H58" s="1099"/>
      <c r="I58" s="1099"/>
      <c r="J58" s="1100"/>
      <c r="K58" s="1100">
        <v>0</v>
      </c>
      <c r="L58" s="1100">
        <v>0</v>
      </c>
      <c r="M58" s="1100">
        <v>0</v>
      </c>
      <c r="N58" s="352"/>
      <c r="O58" s="352"/>
      <c r="P58" s="791">
        <f>IF(B58="Carbon Offsets",Q58/'Building Info &amp; Assumptions'!$B$119,H58*CO2_perEleckBTU*kBTUperKWH+I58*CO2_perNatGaskBTU*kBTUperTherm+J58*CO2_perSteamkBTU*kBTUperlbsSteam+K58*CO2_perUtil4kBTU*kBTUperUnit_Util4+L58*CO2_perUtil5kBTU*kBTUperUnit_Util5+M58*CO2_perUtil6kBTU*kBTUperUnit_Util6)</f>
        <v>0</v>
      </c>
      <c r="Q58" s="1101"/>
      <c r="R58" s="319">
        <f t="shared" si="1"/>
        <v>0</v>
      </c>
      <c r="S58" s="1101"/>
      <c r="T58" s="1102"/>
      <c r="U58" s="215">
        <f t="shared" ref="U58:U65" si="59">Q58-S58</f>
        <v>0</v>
      </c>
      <c r="V58" s="309">
        <f t="shared" ref="V58:V65" si="60">U58-SUM(AA58:AM58)</f>
        <v>0</v>
      </c>
      <c r="W58" s="216" t="str">
        <f t="shared" si="2"/>
        <v>N/A</v>
      </c>
      <c r="X58" s="246"/>
      <c r="Y58" s="15"/>
      <c r="Z58" s="371" t="e">
        <f>IF(OR(AND(#REF!&gt;0,H58&lt;0),AND(H58&gt;0,#REF!=0)),A58,"")</f>
        <v>#REF!</v>
      </c>
      <c r="AA58" s="1103">
        <f t="shared" si="54"/>
        <v>0</v>
      </c>
      <c r="AB58" s="1104">
        <f t="shared" ref="AB58:AK67" si="61">IF(AB$27&gt;$T58,0,$D58*(1+$AV58)+$F58)</f>
        <v>0</v>
      </c>
      <c r="AC58" s="1104">
        <f t="shared" si="61"/>
        <v>0</v>
      </c>
      <c r="AD58" s="1104">
        <f t="shared" si="61"/>
        <v>0</v>
      </c>
      <c r="AE58" s="1104">
        <f t="shared" si="61"/>
        <v>0</v>
      </c>
      <c r="AF58" s="1104">
        <f t="shared" si="61"/>
        <v>0</v>
      </c>
      <c r="AG58" s="1104">
        <f t="shared" si="61"/>
        <v>0</v>
      </c>
      <c r="AH58" s="1104">
        <f t="shared" si="61"/>
        <v>0</v>
      </c>
      <c r="AI58" s="1104">
        <f t="shared" si="61"/>
        <v>0</v>
      </c>
      <c r="AJ58" s="1104">
        <f t="shared" si="61"/>
        <v>0</v>
      </c>
      <c r="AK58" s="1104">
        <f t="shared" si="61"/>
        <v>0</v>
      </c>
      <c r="AL58" s="1104">
        <f t="shared" ref="AL58:AU67" si="62">IF(AL$27&gt;$T58,0,$D58*(1+$AV58)+$F58)</f>
        <v>0</v>
      </c>
      <c r="AM58" s="1104">
        <f t="shared" si="62"/>
        <v>0</v>
      </c>
      <c r="AN58" s="1104">
        <f t="shared" si="62"/>
        <v>0</v>
      </c>
      <c r="AO58" s="1104">
        <f t="shared" si="62"/>
        <v>0</v>
      </c>
      <c r="AP58" s="1104">
        <f t="shared" si="62"/>
        <v>0</v>
      </c>
      <c r="AQ58" s="1104">
        <f t="shared" si="62"/>
        <v>0</v>
      </c>
      <c r="AR58" s="1104">
        <f t="shared" si="62"/>
        <v>0</v>
      </c>
      <c r="AS58" s="1104">
        <f t="shared" si="62"/>
        <v>0</v>
      </c>
      <c r="AT58" s="1104">
        <f t="shared" si="62"/>
        <v>0</v>
      </c>
      <c r="AU58" s="1104">
        <f t="shared" si="62"/>
        <v>0</v>
      </c>
      <c r="AV58" s="730">
        <f>IFERROR((esc_elect*H58*kBTUperKWH+esc_gas*#REF!*kBTUperTherm+esc_steam*I58*kBTUperlbsSteam+#REF!*esc_chw*kBTUperUnit_Util4+J58*esc_hw*kBTUperUnit_Util5+K58*esc_oil*kBTUperUnit_Util6)/(H58*kBTUperKWH+#REF!*kBTUperTherm+I58*kBTUperlbsSteam+#REF!*kBTUperUnit_Util4+J58*kBTUperUnit_Util5+K58*kBTUperUnit_Util6),0)</f>
        <v>0</v>
      </c>
      <c r="AW58" s="397">
        <f t="shared" si="5"/>
        <v>0</v>
      </c>
      <c r="AX58" s="397">
        <f t="shared" si="6"/>
        <v>0</v>
      </c>
      <c r="AY58" s="397">
        <f t="shared" si="7"/>
        <v>0</v>
      </c>
      <c r="AZ58" s="397">
        <f t="shared" si="8"/>
        <v>0</v>
      </c>
      <c r="BA58" s="397">
        <f t="shared" si="9"/>
        <v>0</v>
      </c>
      <c r="BB58" s="397">
        <f t="shared" si="10"/>
        <v>0</v>
      </c>
      <c r="BC58" s="397">
        <f t="shared" si="11"/>
        <v>0</v>
      </c>
      <c r="BD58" s="397">
        <f t="shared" si="27"/>
        <v>0</v>
      </c>
      <c r="BE58" s="398">
        <f>BD58/'Building Info &amp; Assumptions'!$B$372</f>
        <v>0</v>
      </c>
      <c r="BF58" s="380"/>
      <c r="BG58" s="399">
        <f t="shared" si="12"/>
        <v>0</v>
      </c>
      <c r="BH58" s="399">
        <f t="shared" si="13"/>
        <v>0</v>
      </c>
      <c r="BI58" s="399">
        <f t="shared" si="14"/>
        <v>0</v>
      </c>
      <c r="BJ58" s="399">
        <f t="shared" si="15"/>
        <v>0</v>
      </c>
      <c r="BK58" s="399">
        <f t="shared" si="16"/>
        <v>0</v>
      </c>
      <c r="BL58" s="399">
        <f t="shared" si="17"/>
        <v>0</v>
      </c>
      <c r="BM58" s="399">
        <f t="shared" si="18"/>
        <v>0</v>
      </c>
      <c r="BN58" s="375"/>
      <c r="BO58" s="399">
        <f>IF(OR(N58="Constant Demand",O58="Constant Annual"),D58,$D$77*H58+IF(O58='Drop Down Lists'!$BB$2,$I$73*H58,IF(O58='Drop Down Lists'!$BB$4,$I$74*H58,IF(OR(N58='Drop Down Lists'!$BC$2,N58='Drop Down Lists'!$BC$4),$I$76*H58,IF(OR(N58='Drop Down Lists'!$BC$6,'Drop Down Lists'!$BC$8),$I$77*H58,IF(N58='Drop Down Lists'!$BC$5,$I$75*H58,$D$74*H58))))))</f>
        <v>0</v>
      </c>
      <c r="BP58" s="399">
        <f t="shared" si="19"/>
        <v>0</v>
      </c>
      <c r="BQ58" s="375"/>
      <c r="BR58" s="586">
        <f t="shared" si="20"/>
        <v>0</v>
      </c>
      <c r="BS58" s="401">
        <f t="shared" si="21"/>
        <v>0</v>
      </c>
      <c r="BT58" s="375"/>
      <c r="BU58" s="722" t="e">
        <f>VLOOKUP('Narrative &amp; Measures'!$A58,Alternatives!$C$15:$I$17,7,FALSE)</f>
        <v>#N/A</v>
      </c>
      <c r="BV58" s="722" t="e">
        <f>VLOOKUP('Narrative &amp; Measures'!$A58,Alternatives!$C$38:$I$57,7,FALSE)</f>
        <v>#N/A</v>
      </c>
      <c r="BW58" s="722" t="e">
        <f>VLOOKUP('Narrative &amp; Measures'!$A58,Alternatives!$C$63:$I$82,7,FALSE)</f>
        <v>#N/A</v>
      </c>
      <c r="BX58" s="722" t="e">
        <f>VLOOKUP('Narrative &amp; Measures'!$A58,Alternatives!$C$88:$I$107,7,FALSE)</f>
        <v>#N/A</v>
      </c>
      <c r="BY58" s="479"/>
      <c r="BZ58" s="723" t="e">
        <f t="shared" si="55"/>
        <v>#N/A</v>
      </c>
      <c r="CA58" s="723" t="e">
        <f t="shared" si="56"/>
        <v>#N/A</v>
      </c>
      <c r="CB58" s="723" t="e">
        <f t="shared" si="57"/>
        <v>#N/A</v>
      </c>
      <c r="CC58" s="722" t="e">
        <f t="shared" si="31"/>
        <v>#N/A</v>
      </c>
      <c r="CD58" s="722" t="e">
        <f t="shared" si="32"/>
        <v>#N/A</v>
      </c>
      <c r="CE58" s="722" t="e">
        <f t="shared" si="33"/>
        <v>#N/A</v>
      </c>
      <c r="CF58" s="722" t="e">
        <f t="shared" si="34"/>
        <v>#N/A</v>
      </c>
      <c r="CH58" s="726">
        <f>IF(AND(OR(B58="Deferred Maintenance",B58="Immediate Repairs: Life Safety and Critical"),_xlfn.IFNA(MATCH($A58,Alternatives!$C$15:$C$17,0),0)&gt;0,_xlfn.IFNA(VLOOKUP($A58,Alternatives!$C$15:$H$17,6,0)="Yes",0)),$P58,0)</f>
        <v>0</v>
      </c>
      <c r="CI58" s="726">
        <f>IF(AND(_xlfn.IFNA(MATCH($A58,Alternatives!$C$38:$C$57,0),0)&gt;0,_xlfn.IFNA(VLOOKUP($A58,Alternatives!$C$38:$H$57,6,0)="Yes",0)),$P58,0)</f>
        <v>0</v>
      </c>
      <c r="CJ58" s="726">
        <f>IF(AND(_xlfn.IFNA(MATCH($A58,Alternatives!$C$63:$C$82,0),0)&gt;0,_xlfn.IFNA(VLOOKUP($A58,Alternatives!$C$63:$H$82,6,0)="Yes",0)),$P58,0)</f>
        <v>0</v>
      </c>
      <c r="CK58" s="726">
        <f>IF(AND(_xlfn.IFNA(MATCH($A58,Alternatives!$C$88:$C$107,0),0)&gt;0,_xlfn.IFNA(VLOOKUP($A58,Alternatives!$C$88:$H$107,6,0)="Yes",0)),$P58,0)</f>
        <v>0</v>
      </c>
    </row>
    <row r="59" spans="1:89" s="104" customFormat="1" ht="42" customHeight="1" outlineLevel="1">
      <c r="A59" s="1106"/>
      <c r="B59" s="1097"/>
      <c r="C59" s="1098">
        <f t="shared" si="58"/>
        <v>0</v>
      </c>
      <c r="D59" s="351">
        <f t="shared" si="0"/>
        <v>0</v>
      </c>
      <c r="E59" s="595">
        <f>IF(B59='Drop Down Lists'!$AU$7,I59*Rate_NatGas+J59*Rate_Steam+K59*rate_util4+L59*Rate_Util5+M59*Rate_util6+H59*($I$75-$I$77),IF(OR(N59="Constant Demand",O59="Constant Annual"),D59,I59*Rate_NatGas+G59*Rate_EleckW+J59*Rate_Steam+K59*rate_util4+L59*Rate_Util5+M59*Rate_util6+IF(O59='Drop Down Lists'!$BB$2,$I$73*H59,IF(O59='Drop Down Lists'!$BB$3,$I$74*H59,IF(OR(N59='Drop Down Lists'!$BC$2,N59='Drop Down Lists'!$BC$4),$I$76*H59,IF(OR(N59='Drop Down Lists'!$BC$6,'Drop Down Lists'!$BC$8),$I$77*H59,IF(N59='Drop Down Lists'!$BC$5,$I$75*H59,$D$74*H59)))))))</f>
        <v>0</v>
      </c>
      <c r="F59" s="1105"/>
      <c r="G59" s="1099"/>
      <c r="H59" s="1099"/>
      <c r="I59" s="1099"/>
      <c r="J59" s="1100"/>
      <c r="K59" s="1100">
        <v>0</v>
      </c>
      <c r="L59" s="1100">
        <v>0</v>
      </c>
      <c r="M59" s="1100">
        <v>0</v>
      </c>
      <c r="N59" s="352"/>
      <c r="O59" s="352"/>
      <c r="P59" s="791">
        <f>IF(B59="Carbon Offsets",Q59/'Building Info &amp; Assumptions'!$B$119,H59*CO2_perEleckBTU*kBTUperKWH+I59*CO2_perNatGaskBTU*kBTUperTherm+J59*CO2_perSteamkBTU*kBTUperlbsSteam+K59*CO2_perUtil4kBTU*kBTUperUnit_Util4+L59*CO2_perUtil5kBTU*kBTUperUnit_Util5+M59*CO2_perUtil6kBTU*kBTUperUnit_Util6)</f>
        <v>0</v>
      </c>
      <c r="Q59" s="1101"/>
      <c r="R59" s="319">
        <f t="shared" si="1"/>
        <v>0</v>
      </c>
      <c r="S59" s="1101"/>
      <c r="T59" s="1102"/>
      <c r="U59" s="215">
        <f t="shared" si="59"/>
        <v>0</v>
      </c>
      <c r="V59" s="309">
        <f t="shared" si="60"/>
        <v>0</v>
      </c>
      <c r="W59" s="216" t="str">
        <f t="shared" si="2"/>
        <v>N/A</v>
      </c>
      <c r="X59" s="246"/>
      <c r="Y59" s="15"/>
      <c r="Z59" s="371" t="e">
        <f>IF(OR(AND(#REF!&gt;0,H59&lt;0),AND(H59&gt;0,#REF!=0)),A59,"")</f>
        <v>#REF!</v>
      </c>
      <c r="AA59" s="1103">
        <f t="shared" si="54"/>
        <v>0</v>
      </c>
      <c r="AB59" s="1104">
        <f t="shared" si="61"/>
        <v>0</v>
      </c>
      <c r="AC59" s="1104">
        <f t="shared" si="61"/>
        <v>0</v>
      </c>
      <c r="AD59" s="1104">
        <f t="shared" si="61"/>
        <v>0</v>
      </c>
      <c r="AE59" s="1104">
        <f t="shared" si="61"/>
        <v>0</v>
      </c>
      <c r="AF59" s="1104">
        <f t="shared" si="61"/>
        <v>0</v>
      </c>
      <c r="AG59" s="1104">
        <f t="shared" si="61"/>
        <v>0</v>
      </c>
      <c r="AH59" s="1104">
        <f t="shared" si="61"/>
        <v>0</v>
      </c>
      <c r="AI59" s="1104">
        <f t="shared" si="61"/>
        <v>0</v>
      </c>
      <c r="AJ59" s="1104">
        <f t="shared" si="61"/>
        <v>0</v>
      </c>
      <c r="AK59" s="1104">
        <f t="shared" si="61"/>
        <v>0</v>
      </c>
      <c r="AL59" s="1104">
        <f t="shared" si="62"/>
        <v>0</v>
      </c>
      <c r="AM59" s="1104">
        <f t="shared" si="62"/>
        <v>0</v>
      </c>
      <c r="AN59" s="1104">
        <f t="shared" si="62"/>
        <v>0</v>
      </c>
      <c r="AO59" s="1104">
        <f t="shared" si="62"/>
        <v>0</v>
      </c>
      <c r="AP59" s="1104">
        <f t="shared" si="62"/>
        <v>0</v>
      </c>
      <c r="AQ59" s="1104">
        <f t="shared" si="62"/>
        <v>0</v>
      </c>
      <c r="AR59" s="1104">
        <f t="shared" si="62"/>
        <v>0</v>
      </c>
      <c r="AS59" s="1104">
        <f t="shared" si="62"/>
        <v>0</v>
      </c>
      <c r="AT59" s="1104">
        <f t="shared" si="62"/>
        <v>0</v>
      </c>
      <c r="AU59" s="1104">
        <f t="shared" si="62"/>
        <v>0</v>
      </c>
      <c r="AV59" s="730">
        <f>IFERROR((esc_elect*H59*kBTUperKWH+esc_gas*#REF!*kBTUperTherm+esc_steam*I59*kBTUperlbsSteam+#REF!*esc_chw*kBTUperUnit_Util4+J59*esc_hw*kBTUperUnit_Util5+K59*esc_oil*kBTUperUnit_Util6)/(H59*kBTUperKWH+#REF!*kBTUperTherm+I59*kBTUperlbsSteam+#REF!*kBTUperUnit_Util4+J59*kBTUperUnit_Util5+K59*kBTUperUnit_Util6),0)</f>
        <v>0</v>
      </c>
      <c r="AW59" s="397">
        <f t="shared" si="5"/>
        <v>0</v>
      </c>
      <c r="AX59" s="397">
        <f t="shared" si="6"/>
        <v>0</v>
      </c>
      <c r="AY59" s="397">
        <f t="shared" si="7"/>
        <v>0</v>
      </c>
      <c r="AZ59" s="397">
        <f t="shared" si="8"/>
        <v>0</v>
      </c>
      <c r="BA59" s="397">
        <f t="shared" si="9"/>
        <v>0</v>
      </c>
      <c r="BB59" s="397">
        <f t="shared" si="10"/>
        <v>0</v>
      </c>
      <c r="BC59" s="397">
        <f t="shared" si="11"/>
        <v>0</v>
      </c>
      <c r="BD59" s="397">
        <f t="shared" si="27"/>
        <v>0</v>
      </c>
      <c r="BE59" s="398">
        <f>BD59/'Building Info &amp; Assumptions'!$B$372</f>
        <v>0</v>
      </c>
      <c r="BF59" s="380"/>
      <c r="BG59" s="399">
        <f t="shared" si="12"/>
        <v>0</v>
      </c>
      <c r="BH59" s="399">
        <f t="shared" si="13"/>
        <v>0</v>
      </c>
      <c r="BI59" s="399">
        <f t="shared" si="14"/>
        <v>0</v>
      </c>
      <c r="BJ59" s="399">
        <f t="shared" si="15"/>
        <v>0</v>
      </c>
      <c r="BK59" s="399">
        <f t="shared" si="16"/>
        <v>0</v>
      </c>
      <c r="BL59" s="399">
        <f t="shared" si="17"/>
        <v>0</v>
      </c>
      <c r="BM59" s="399">
        <f t="shared" si="18"/>
        <v>0</v>
      </c>
      <c r="BN59" s="375"/>
      <c r="BO59" s="399">
        <f>IF(OR(N59="Constant Demand",O59="Constant Annual"),D59,$D$77*H59+IF(O59='Drop Down Lists'!$BB$2,$I$73*H59,IF(O59='Drop Down Lists'!$BB$4,$I$74*H59,IF(OR(N59='Drop Down Lists'!$BC$2,N59='Drop Down Lists'!$BC$4),$I$76*H59,IF(OR(N59='Drop Down Lists'!$BC$6,'Drop Down Lists'!$BC$8),$I$77*H59,IF(N59='Drop Down Lists'!$BC$5,$I$75*H59,$D$74*H59))))))</f>
        <v>0</v>
      </c>
      <c r="BP59" s="399">
        <f t="shared" si="19"/>
        <v>0</v>
      </c>
      <c r="BQ59" s="375"/>
      <c r="BR59" s="586">
        <f t="shared" si="20"/>
        <v>0</v>
      </c>
      <c r="BS59" s="401">
        <f t="shared" si="21"/>
        <v>0</v>
      </c>
      <c r="BT59" s="375"/>
      <c r="BU59" s="722" t="e">
        <f>VLOOKUP('Narrative &amp; Measures'!$A59,Alternatives!$C$15:$I$17,7,FALSE)</f>
        <v>#N/A</v>
      </c>
      <c r="BV59" s="722" t="e">
        <f>VLOOKUP('Narrative &amp; Measures'!$A59,Alternatives!$C$38:$I$57,7,FALSE)</f>
        <v>#N/A</v>
      </c>
      <c r="BW59" s="722" t="e">
        <f>VLOOKUP('Narrative &amp; Measures'!$A59,Alternatives!$C$63:$I$82,7,FALSE)</f>
        <v>#N/A</v>
      </c>
      <c r="BX59" s="722" t="e">
        <f>VLOOKUP('Narrative &amp; Measures'!$A59,Alternatives!$C$88:$I$107,7,FALSE)</f>
        <v>#N/A</v>
      </c>
      <c r="BY59" s="479"/>
      <c r="BZ59" s="723" t="e">
        <f t="shared" si="55"/>
        <v>#N/A</v>
      </c>
      <c r="CA59" s="723" t="e">
        <f t="shared" si="56"/>
        <v>#N/A</v>
      </c>
      <c r="CB59" s="723" t="e">
        <f t="shared" si="57"/>
        <v>#N/A</v>
      </c>
      <c r="CC59" s="722" t="e">
        <f t="shared" si="31"/>
        <v>#N/A</v>
      </c>
      <c r="CD59" s="722" t="e">
        <f t="shared" si="32"/>
        <v>#N/A</v>
      </c>
      <c r="CE59" s="722" t="e">
        <f t="shared" si="33"/>
        <v>#N/A</v>
      </c>
      <c r="CF59" s="722" t="e">
        <f t="shared" si="34"/>
        <v>#N/A</v>
      </c>
      <c r="CH59" s="726">
        <f>IF(AND(OR(B59="Deferred Maintenance",B59="Immediate Repairs: Life Safety and Critical"),_xlfn.IFNA(MATCH($A59,Alternatives!$C$15:$C$17,0),0)&gt;0,_xlfn.IFNA(VLOOKUP($A59,Alternatives!$C$15:$H$17,6,0)="Yes",0)),$P59,0)</f>
        <v>0</v>
      </c>
      <c r="CI59" s="726">
        <f>IF(AND(_xlfn.IFNA(MATCH($A59,Alternatives!$C$38:$C$57,0),0)&gt;0,_xlfn.IFNA(VLOOKUP($A59,Alternatives!$C$38:$H$57,6,0)="Yes",0)),$P59,0)</f>
        <v>0</v>
      </c>
      <c r="CJ59" s="726">
        <f>IF(AND(_xlfn.IFNA(MATCH($A59,Alternatives!$C$63:$C$82,0),0)&gt;0,_xlfn.IFNA(VLOOKUP($A59,Alternatives!$C$63:$H$82,6,0)="Yes",0)),$P59,0)</f>
        <v>0</v>
      </c>
      <c r="CK59" s="726">
        <f>IF(AND(_xlfn.IFNA(MATCH($A59,Alternatives!$C$88:$C$107,0),0)&gt;0,_xlfn.IFNA(VLOOKUP($A59,Alternatives!$C$88:$H$107,6,0)="Yes",0)),$P59,0)</f>
        <v>0</v>
      </c>
    </row>
    <row r="60" spans="1:89" s="104" customFormat="1" ht="42" customHeight="1" outlineLevel="1">
      <c r="A60" s="1106"/>
      <c r="B60" s="1097"/>
      <c r="C60" s="1098">
        <f t="shared" si="58"/>
        <v>0</v>
      </c>
      <c r="D60" s="351">
        <f t="shared" si="0"/>
        <v>0</v>
      </c>
      <c r="E60" s="595">
        <f>IF(B60='Drop Down Lists'!$AU$7,I60*Rate_NatGas+J60*Rate_Steam+K60*rate_util4+L60*Rate_Util5+M60*Rate_util6+H60*($I$75-$I$77),IF(OR(N60="Constant Demand",O60="Constant Annual"),D60,I60*Rate_NatGas+G60*Rate_EleckW+J60*Rate_Steam+K60*rate_util4+L60*Rate_Util5+M60*Rate_util6+IF(O60='Drop Down Lists'!$BB$2,$I$73*H60,IF(O60='Drop Down Lists'!$BB$3,$I$74*H60,IF(OR(N60='Drop Down Lists'!$BC$2,N60='Drop Down Lists'!$BC$4),$I$76*H60,IF(OR(N60='Drop Down Lists'!$BC$6,'Drop Down Lists'!$BC$8),$I$77*H60,IF(N60='Drop Down Lists'!$BC$5,$I$75*H60,$D$74*H60)))))))</f>
        <v>0</v>
      </c>
      <c r="F60" s="1105"/>
      <c r="G60" s="1099"/>
      <c r="H60" s="1099"/>
      <c r="I60" s="1099"/>
      <c r="J60" s="1100"/>
      <c r="K60" s="1100">
        <v>0</v>
      </c>
      <c r="L60" s="1100">
        <v>0</v>
      </c>
      <c r="M60" s="1100">
        <v>0</v>
      </c>
      <c r="N60" s="352"/>
      <c r="O60" s="352"/>
      <c r="P60" s="791">
        <f>IF(B60="Carbon Offsets",Q60/'Building Info &amp; Assumptions'!$B$119,H60*CO2_perEleckBTU*kBTUperKWH+I60*CO2_perNatGaskBTU*kBTUperTherm+J60*CO2_perSteamkBTU*kBTUperlbsSteam+K60*CO2_perUtil4kBTU*kBTUperUnit_Util4+L60*CO2_perUtil5kBTU*kBTUperUnit_Util5+M60*CO2_perUtil6kBTU*kBTUperUnit_Util6)</f>
        <v>0</v>
      </c>
      <c r="Q60" s="1101"/>
      <c r="R60" s="319">
        <f t="shared" si="1"/>
        <v>0</v>
      </c>
      <c r="S60" s="1101"/>
      <c r="T60" s="1102"/>
      <c r="U60" s="215">
        <f t="shared" si="59"/>
        <v>0</v>
      </c>
      <c r="V60" s="309">
        <f t="shared" si="60"/>
        <v>0</v>
      </c>
      <c r="W60" s="216" t="str">
        <f t="shared" si="2"/>
        <v>N/A</v>
      </c>
      <c r="X60" s="246"/>
      <c r="Y60" s="15"/>
      <c r="Z60" s="371" t="e">
        <f>IF(OR(AND(#REF!&gt;0,H60&lt;0),AND(H60&gt;0,#REF!=0)),A60,"")</f>
        <v>#REF!</v>
      </c>
      <c r="AA60" s="1103">
        <f t="shared" si="54"/>
        <v>0</v>
      </c>
      <c r="AB60" s="1104">
        <f t="shared" si="61"/>
        <v>0</v>
      </c>
      <c r="AC60" s="1104">
        <f t="shared" si="61"/>
        <v>0</v>
      </c>
      <c r="AD60" s="1104">
        <f t="shared" si="61"/>
        <v>0</v>
      </c>
      <c r="AE60" s="1104">
        <f t="shared" si="61"/>
        <v>0</v>
      </c>
      <c r="AF60" s="1104">
        <f t="shared" si="61"/>
        <v>0</v>
      </c>
      <c r="AG60" s="1104">
        <f t="shared" si="61"/>
        <v>0</v>
      </c>
      <c r="AH60" s="1104">
        <f t="shared" si="61"/>
        <v>0</v>
      </c>
      <c r="AI60" s="1104">
        <f t="shared" si="61"/>
        <v>0</v>
      </c>
      <c r="AJ60" s="1104">
        <f t="shared" si="61"/>
        <v>0</v>
      </c>
      <c r="AK60" s="1104">
        <f t="shared" si="61"/>
        <v>0</v>
      </c>
      <c r="AL60" s="1104">
        <f t="shared" si="62"/>
        <v>0</v>
      </c>
      <c r="AM60" s="1104">
        <f t="shared" si="62"/>
        <v>0</v>
      </c>
      <c r="AN60" s="1104">
        <f t="shared" si="62"/>
        <v>0</v>
      </c>
      <c r="AO60" s="1104">
        <f t="shared" si="62"/>
        <v>0</v>
      </c>
      <c r="AP60" s="1104">
        <f t="shared" si="62"/>
        <v>0</v>
      </c>
      <c r="AQ60" s="1104">
        <f t="shared" si="62"/>
        <v>0</v>
      </c>
      <c r="AR60" s="1104">
        <f t="shared" si="62"/>
        <v>0</v>
      </c>
      <c r="AS60" s="1104">
        <f t="shared" si="62"/>
        <v>0</v>
      </c>
      <c r="AT60" s="1104">
        <f t="shared" si="62"/>
        <v>0</v>
      </c>
      <c r="AU60" s="1104">
        <f t="shared" si="62"/>
        <v>0</v>
      </c>
      <c r="AV60" s="730">
        <f>IFERROR((esc_elect*H60*kBTUperKWH+esc_gas*#REF!*kBTUperTherm+esc_steam*I60*kBTUperlbsSteam+#REF!*esc_chw*kBTUperUnit_Util4+J60*esc_hw*kBTUperUnit_Util5+K60*esc_oil*kBTUperUnit_Util6)/(H60*kBTUperKWH+#REF!*kBTUperTherm+I60*kBTUperlbsSteam+#REF!*kBTUperUnit_Util4+J60*kBTUperUnit_Util5+K60*kBTUperUnit_Util6),0)</f>
        <v>0</v>
      </c>
      <c r="AW60" s="397">
        <f t="shared" si="5"/>
        <v>0</v>
      </c>
      <c r="AX60" s="397">
        <f t="shared" si="6"/>
        <v>0</v>
      </c>
      <c r="AY60" s="397">
        <f t="shared" si="7"/>
        <v>0</v>
      </c>
      <c r="AZ60" s="397">
        <f t="shared" si="8"/>
        <v>0</v>
      </c>
      <c r="BA60" s="397">
        <f t="shared" si="9"/>
        <v>0</v>
      </c>
      <c r="BB60" s="397">
        <f t="shared" si="10"/>
        <v>0</v>
      </c>
      <c r="BC60" s="397">
        <f t="shared" si="11"/>
        <v>0</v>
      </c>
      <c r="BD60" s="397">
        <f t="shared" si="27"/>
        <v>0</v>
      </c>
      <c r="BE60" s="398">
        <f>BD60/'Building Info &amp; Assumptions'!$B$372</f>
        <v>0</v>
      </c>
      <c r="BF60" s="380"/>
      <c r="BG60" s="399">
        <f t="shared" si="12"/>
        <v>0</v>
      </c>
      <c r="BH60" s="399">
        <f t="shared" si="13"/>
        <v>0</v>
      </c>
      <c r="BI60" s="399">
        <f t="shared" si="14"/>
        <v>0</v>
      </c>
      <c r="BJ60" s="399">
        <f t="shared" si="15"/>
        <v>0</v>
      </c>
      <c r="BK60" s="399">
        <f t="shared" si="16"/>
        <v>0</v>
      </c>
      <c r="BL60" s="399">
        <f t="shared" si="17"/>
        <v>0</v>
      </c>
      <c r="BM60" s="399">
        <f t="shared" si="18"/>
        <v>0</v>
      </c>
      <c r="BN60" s="375"/>
      <c r="BO60" s="399">
        <f>IF(OR(N60="Constant Demand",O60="Constant Annual"),D60,$D$77*H60+IF(O60='Drop Down Lists'!$BB$2,$I$73*H60,IF(O60='Drop Down Lists'!$BB$4,$I$74*H60,IF(OR(N60='Drop Down Lists'!$BC$2,N60='Drop Down Lists'!$BC$4),$I$76*H60,IF(OR(N60='Drop Down Lists'!$BC$6,'Drop Down Lists'!$BC$8),$I$77*H60,IF(N60='Drop Down Lists'!$BC$5,$I$75*H60,$D$74*H60))))))</f>
        <v>0</v>
      </c>
      <c r="BP60" s="399">
        <f t="shared" si="19"/>
        <v>0</v>
      </c>
      <c r="BQ60" s="375"/>
      <c r="BR60" s="586">
        <f t="shared" si="20"/>
        <v>0</v>
      </c>
      <c r="BS60" s="401">
        <f t="shared" si="21"/>
        <v>0</v>
      </c>
      <c r="BT60" s="375"/>
      <c r="BU60" s="722" t="e">
        <f>VLOOKUP('Narrative &amp; Measures'!$A60,Alternatives!$C$15:$I$17,7,FALSE)</f>
        <v>#N/A</v>
      </c>
      <c r="BV60" s="722" t="e">
        <f>VLOOKUP('Narrative &amp; Measures'!$A60,Alternatives!$C$38:$I$57,7,FALSE)</f>
        <v>#N/A</v>
      </c>
      <c r="BW60" s="722" t="e">
        <f>VLOOKUP('Narrative &amp; Measures'!$A60,Alternatives!$C$63:$I$82,7,FALSE)</f>
        <v>#N/A</v>
      </c>
      <c r="BX60" s="722" t="e">
        <f>VLOOKUP('Narrative &amp; Measures'!$A60,Alternatives!$C$88:$I$107,7,FALSE)</f>
        <v>#N/A</v>
      </c>
      <c r="BY60" s="479"/>
      <c r="BZ60" s="723" t="e">
        <f t="shared" si="55"/>
        <v>#N/A</v>
      </c>
      <c r="CA60" s="723" t="e">
        <f t="shared" si="56"/>
        <v>#N/A</v>
      </c>
      <c r="CB60" s="723" t="e">
        <f t="shared" si="57"/>
        <v>#N/A</v>
      </c>
      <c r="CC60" s="722" t="e">
        <f t="shared" si="31"/>
        <v>#N/A</v>
      </c>
      <c r="CD60" s="722" t="e">
        <f t="shared" si="32"/>
        <v>#N/A</v>
      </c>
      <c r="CE60" s="722" t="e">
        <f t="shared" si="33"/>
        <v>#N/A</v>
      </c>
      <c r="CF60" s="722" t="e">
        <f t="shared" si="34"/>
        <v>#N/A</v>
      </c>
      <c r="CH60" s="726">
        <f>IF(AND(OR(B60="Deferred Maintenance",B60="Immediate Repairs: Life Safety and Critical"),_xlfn.IFNA(MATCH($A60,Alternatives!$C$15:$C$17,0),0)&gt;0,_xlfn.IFNA(VLOOKUP($A60,Alternatives!$C$15:$H$17,6,0)="Yes",0)),$P60,0)</f>
        <v>0</v>
      </c>
      <c r="CI60" s="726">
        <f>IF(AND(_xlfn.IFNA(MATCH($A60,Alternatives!$C$38:$C$57,0),0)&gt;0,_xlfn.IFNA(VLOOKUP($A60,Alternatives!$C$38:$H$57,6,0)="Yes",0)),$P60,0)</f>
        <v>0</v>
      </c>
      <c r="CJ60" s="726">
        <f>IF(AND(_xlfn.IFNA(MATCH($A60,Alternatives!$C$63:$C$82,0),0)&gt;0,_xlfn.IFNA(VLOOKUP($A60,Alternatives!$C$63:$H$82,6,0)="Yes",0)),$P60,0)</f>
        <v>0</v>
      </c>
      <c r="CK60" s="726">
        <f>IF(AND(_xlfn.IFNA(MATCH($A60,Alternatives!$C$88:$C$107,0),0)&gt;0,_xlfn.IFNA(VLOOKUP($A60,Alternatives!$C$88:$H$107,6,0)="Yes",0)),$P60,0)</f>
        <v>0</v>
      </c>
    </row>
    <row r="61" spans="1:89" s="104" customFormat="1" ht="42" customHeight="1" outlineLevel="1">
      <c r="A61" s="1106"/>
      <c r="B61" s="1097"/>
      <c r="C61" s="1098">
        <f t="shared" si="58"/>
        <v>0</v>
      </c>
      <c r="D61" s="351">
        <f t="shared" si="0"/>
        <v>0</v>
      </c>
      <c r="E61" s="595">
        <f>IF(B61='Drop Down Lists'!$AU$7,I61*Rate_NatGas+J61*Rate_Steam+K61*rate_util4+L61*Rate_Util5+M61*Rate_util6+H61*($I$75-$I$77),IF(OR(N61="Constant Demand",O61="Constant Annual"),D61,I61*Rate_NatGas+G61*Rate_EleckW+J61*Rate_Steam+K61*rate_util4+L61*Rate_Util5+M61*Rate_util6+IF(O61='Drop Down Lists'!$BB$2,$I$73*H61,IF(O61='Drop Down Lists'!$BB$3,$I$74*H61,IF(OR(N61='Drop Down Lists'!$BC$2,N61='Drop Down Lists'!$BC$4),$I$76*H61,IF(OR(N61='Drop Down Lists'!$BC$6,'Drop Down Lists'!$BC$8),$I$77*H61,IF(N61='Drop Down Lists'!$BC$5,$I$75*H61,$D$74*H61)))))))</f>
        <v>0</v>
      </c>
      <c r="F61" s="1105"/>
      <c r="G61" s="1099"/>
      <c r="H61" s="1099"/>
      <c r="I61" s="1099"/>
      <c r="J61" s="1100"/>
      <c r="K61" s="1100">
        <v>0</v>
      </c>
      <c r="L61" s="1100">
        <v>0</v>
      </c>
      <c r="M61" s="1100">
        <v>0</v>
      </c>
      <c r="N61" s="352"/>
      <c r="O61" s="352"/>
      <c r="P61" s="791">
        <f>IF(B61="Carbon Offsets",Q61/'Building Info &amp; Assumptions'!$B$119,H61*CO2_perEleckBTU*kBTUperKWH+I61*CO2_perNatGaskBTU*kBTUperTherm+J61*CO2_perSteamkBTU*kBTUperlbsSteam+K61*CO2_perUtil4kBTU*kBTUperUnit_Util4+L61*CO2_perUtil5kBTU*kBTUperUnit_Util5+M61*CO2_perUtil6kBTU*kBTUperUnit_Util6)</f>
        <v>0</v>
      </c>
      <c r="Q61" s="1101"/>
      <c r="R61" s="319">
        <f t="shared" si="1"/>
        <v>0</v>
      </c>
      <c r="S61" s="1101"/>
      <c r="T61" s="1102"/>
      <c r="U61" s="215">
        <f t="shared" si="59"/>
        <v>0</v>
      </c>
      <c r="V61" s="309">
        <f t="shared" si="60"/>
        <v>0</v>
      </c>
      <c r="W61" s="216" t="str">
        <f t="shared" si="2"/>
        <v>N/A</v>
      </c>
      <c r="X61" s="246"/>
      <c r="Y61" s="15"/>
      <c r="Z61" s="371" t="e">
        <f>IF(OR(AND(#REF!&gt;0,H61&lt;0),AND(H61&gt;0,#REF!=0)),A61,"")</f>
        <v>#REF!</v>
      </c>
      <c r="AA61" s="1103">
        <f t="shared" si="54"/>
        <v>0</v>
      </c>
      <c r="AB61" s="1104">
        <f t="shared" si="61"/>
        <v>0</v>
      </c>
      <c r="AC61" s="1104">
        <f t="shared" si="61"/>
        <v>0</v>
      </c>
      <c r="AD61" s="1104">
        <f t="shared" si="61"/>
        <v>0</v>
      </c>
      <c r="AE61" s="1104">
        <f t="shared" si="61"/>
        <v>0</v>
      </c>
      <c r="AF61" s="1104">
        <f t="shared" si="61"/>
        <v>0</v>
      </c>
      <c r="AG61" s="1104">
        <f t="shared" si="61"/>
        <v>0</v>
      </c>
      <c r="AH61" s="1104">
        <f t="shared" si="61"/>
        <v>0</v>
      </c>
      <c r="AI61" s="1104">
        <f t="shared" si="61"/>
        <v>0</v>
      </c>
      <c r="AJ61" s="1104">
        <f t="shared" si="61"/>
        <v>0</v>
      </c>
      <c r="AK61" s="1104">
        <f t="shared" si="61"/>
        <v>0</v>
      </c>
      <c r="AL61" s="1104">
        <f t="shared" si="62"/>
        <v>0</v>
      </c>
      <c r="AM61" s="1104">
        <f t="shared" si="62"/>
        <v>0</v>
      </c>
      <c r="AN61" s="1104">
        <f t="shared" si="62"/>
        <v>0</v>
      </c>
      <c r="AO61" s="1104">
        <f t="shared" si="62"/>
        <v>0</v>
      </c>
      <c r="AP61" s="1104">
        <f t="shared" si="62"/>
        <v>0</v>
      </c>
      <c r="AQ61" s="1104">
        <f t="shared" si="62"/>
        <v>0</v>
      </c>
      <c r="AR61" s="1104">
        <f t="shared" si="62"/>
        <v>0</v>
      </c>
      <c r="AS61" s="1104">
        <f t="shared" si="62"/>
        <v>0</v>
      </c>
      <c r="AT61" s="1104">
        <f t="shared" si="62"/>
        <v>0</v>
      </c>
      <c r="AU61" s="1104">
        <f t="shared" si="62"/>
        <v>0</v>
      </c>
      <c r="AV61" s="730">
        <f>IFERROR((esc_elect*H61*kBTUperKWH+esc_gas*#REF!*kBTUperTherm+esc_steam*I61*kBTUperlbsSteam+#REF!*esc_chw*kBTUperUnit_Util4+J61*esc_hw*kBTUperUnit_Util5+K61*esc_oil*kBTUperUnit_Util6)/(H61*kBTUperKWH+#REF!*kBTUperTherm+I61*kBTUperlbsSteam+#REF!*kBTUperUnit_Util4+J61*kBTUperUnit_Util5+K61*kBTUperUnit_Util6),0)</f>
        <v>0</v>
      </c>
      <c r="AW61" s="397">
        <f t="shared" si="5"/>
        <v>0</v>
      </c>
      <c r="AX61" s="397">
        <f t="shared" si="6"/>
        <v>0</v>
      </c>
      <c r="AY61" s="397">
        <f t="shared" si="7"/>
        <v>0</v>
      </c>
      <c r="AZ61" s="397">
        <f t="shared" si="8"/>
        <v>0</v>
      </c>
      <c r="BA61" s="397">
        <f t="shared" si="9"/>
        <v>0</v>
      </c>
      <c r="BB61" s="397">
        <f t="shared" si="10"/>
        <v>0</v>
      </c>
      <c r="BC61" s="397">
        <f t="shared" si="11"/>
        <v>0</v>
      </c>
      <c r="BD61" s="397">
        <f t="shared" si="27"/>
        <v>0</v>
      </c>
      <c r="BE61" s="398">
        <f>BD61/'Building Info &amp; Assumptions'!$B$372</f>
        <v>0</v>
      </c>
      <c r="BF61" s="380"/>
      <c r="BG61" s="399">
        <f t="shared" si="12"/>
        <v>0</v>
      </c>
      <c r="BH61" s="399">
        <f t="shared" si="13"/>
        <v>0</v>
      </c>
      <c r="BI61" s="399">
        <f t="shared" si="14"/>
        <v>0</v>
      </c>
      <c r="BJ61" s="399">
        <f t="shared" si="15"/>
        <v>0</v>
      </c>
      <c r="BK61" s="399">
        <f t="shared" si="16"/>
        <v>0</v>
      </c>
      <c r="BL61" s="399">
        <f t="shared" si="17"/>
        <v>0</v>
      </c>
      <c r="BM61" s="399">
        <f t="shared" si="18"/>
        <v>0</v>
      </c>
      <c r="BN61" s="375"/>
      <c r="BO61" s="399">
        <f>IF(OR(N61="Constant Demand",O61="Constant Annual"),D61,$D$77*H61+IF(O61='Drop Down Lists'!$BB$2,$I$73*H61,IF(O61='Drop Down Lists'!$BB$4,$I$74*H61,IF(OR(N61='Drop Down Lists'!$BC$2,N61='Drop Down Lists'!$BC$4),$I$76*H61,IF(OR(N61='Drop Down Lists'!$BC$6,'Drop Down Lists'!$BC$8),$I$77*H61,IF(N61='Drop Down Lists'!$BC$5,$I$75*H61,$D$74*H61))))))</f>
        <v>0</v>
      </c>
      <c r="BP61" s="399">
        <f t="shared" si="19"/>
        <v>0</v>
      </c>
      <c r="BQ61" s="375"/>
      <c r="BR61" s="586">
        <f t="shared" si="20"/>
        <v>0</v>
      </c>
      <c r="BS61" s="401">
        <f t="shared" si="21"/>
        <v>0</v>
      </c>
      <c r="BT61" s="375"/>
      <c r="BU61" s="722" t="e">
        <f>VLOOKUP('Narrative &amp; Measures'!$A61,Alternatives!$C$15:$I$17,7,FALSE)</f>
        <v>#N/A</v>
      </c>
      <c r="BV61" s="722" t="e">
        <f>VLOOKUP('Narrative &amp; Measures'!$A61,Alternatives!$C$38:$I$57,7,FALSE)</f>
        <v>#N/A</v>
      </c>
      <c r="BW61" s="722" t="e">
        <f>VLOOKUP('Narrative &amp; Measures'!$A61,Alternatives!$C$63:$I$82,7,FALSE)</f>
        <v>#N/A</v>
      </c>
      <c r="BX61" s="722" t="e">
        <f>VLOOKUP('Narrative &amp; Measures'!$A61,Alternatives!$C$88:$I$107,7,FALSE)</f>
        <v>#N/A</v>
      </c>
      <c r="BY61" s="479"/>
      <c r="BZ61" s="723" t="e">
        <f t="shared" si="55"/>
        <v>#N/A</v>
      </c>
      <c r="CA61" s="723" t="e">
        <f t="shared" si="56"/>
        <v>#N/A</v>
      </c>
      <c r="CB61" s="723" t="e">
        <f t="shared" si="57"/>
        <v>#N/A</v>
      </c>
      <c r="CC61" s="722" t="e">
        <f t="shared" si="31"/>
        <v>#N/A</v>
      </c>
      <c r="CD61" s="722" t="e">
        <f t="shared" si="32"/>
        <v>#N/A</v>
      </c>
      <c r="CE61" s="722" t="e">
        <f t="shared" si="33"/>
        <v>#N/A</v>
      </c>
      <c r="CF61" s="722" t="e">
        <f t="shared" si="34"/>
        <v>#N/A</v>
      </c>
      <c r="CH61" s="726">
        <f>IF(AND(OR(B61="Deferred Maintenance",B61="Immediate Repairs: Life Safety and Critical"),_xlfn.IFNA(MATCH($A61,Alternatives!$C$15:$C$17,0),0)&gt;0,_xlfn.IFNA(VLOOKUP($A61,Alternatives!$C$15:$H$17,6,0)="Yes",0)),$P61,0)</f>
        <v>0</v>
      </c>
      <c r="CI61" s="726">
        <f>IF(AND(_xlfn.IFNA(MATCH($A61,Alternatives!$C$38:$C$57,0),0)&gt;0,_xlfn.IFNA(VLOOKUP($A61,Alternatives!$C$38:$H$57,6,0)="Yes",0)),$P61,0)</f>
        <v>0</v>
      </c>
      <c r="CJ61" s="726">
        <f>IF(AND(_xlfn.IFNA(MATCH($A61,Alternatives!$C$63:$C$82,0),0)&gt;0,_xlfn.IFNA(VLOOKUP($A61,Alternatives!$C$63:$H$82,6,0)="Yes",0)),$P61,0)</f>
        <v>0</v>
      </c>
      <c r="CK61" s="726">
        <f>IF(AND(_xlfn.IFNA(MATCH($A61,Alternatives!$C$88:$C$107,0),0)&gt;0,_xlfn.IFNA(VLOOKUP($A61,Alternatives!$C$88:$H$107,6,0)="Yes",0)),$P61,0)</f>
        <v>0</v>
      </c>
    </row>
    <row r="62" spans="1:89" s="104" customFormat="1" ht="42" customHeight="1" outlineLevel="1">
      <c r="A62" s="1106"/>
      <c r="B62" s="1097"/>
      <c r="C62" s="1098">
        <f t="shared" si="58"/>
        <v>0</v>
      </c>
      <c r="D62" s="351">
        <f t="shared" si="0"/>
        <v>0</v>
      </c>
      <c r="E62" s="595">
        <f>IF(B62='Drop Down Lists'!$AU$7,I62*Rate_NatGas+J62*Rate_Steam+K62*rate_util4+L62*Rate_Util5+M62*Rate_util6+H62*($I$75-$I$77),IF(OR(N62="Constant Demand",O62="Constant Annual"),D62,I62*Rate_NatGas+G62*Rate_EleckW+J62*Rate_Steam+K62*rate_util4+L62*Rate_Util5+M62*Rate_util6+IF(O62='Drop Down Lists'!$BB$2,$I$73*H62,IF(O62='Drop Down Lists'!$BB$3,$I$74*H62,IF(OR(N62='Drop Down Lists'!$BC$2,N62='Drop Down Lists'!$BC$4),$I$76*H62,IF(OR(N62='Drop Down Lists'!$BC$6,'Drop Down Lists'!$BC$8),$I$77*H62,IF(N62='Drop Down Lists'!$BC$5,$I$75*H62,$D$74*H62)))))))</f>
        <v>0</v>
      </c>
      <c r="F62" s="1105"/>
      <c r="G62" s="1099"/>
      <c r="H62" s="1099"/>
      <c r="I62" s="1099"/>
      <c r="J62" s="1100"/>
      <c r="K62" s="1100">
        <v>0</v>
      </c>
      <c r="L62" s="1100">
        <v>0</v>
      </c>
      <c r="M62" s="1100">
        <v>0</v>
      </c>
      <c r="N62" s="352"/>
      <c r="O62" s="352"/>
      <c r="P62" s="791">
        <f>IF(B62="Carbon Offsets",Q62/'Building Info &amp; Assumptions'!$B$119,H62*CO2_perEleckBTU*kBTUperKWH+I62*CO2_perNatGaskBTU*kBTUperTherm+J62*CO2_perSteamkBTU*kBTUperlbsSteam+K62*CO2_perUtil4kBTU*kBTUperUnit_Util4+L62*CO2_perUtil5kBTU*kBTUperUnit_Util5+M62*CO2_perUtil6kBTU*kBTUperUnit_Util6)</f>
        <v>0</v>
      </c>
      <c r="Q62" s="1101"/>
      <c r="R62" s="319">
        <f t="shared" si="1"/>
        <v>0</v>
      </c>
      <c r="S62" s="1101"/>
      <c r="T62" s="1102"/>
      <c r="U62" s="215">
        <f t="shared" si="59"/>
        <v>0</v>
      </c>
      <c r="V62" s="309">
        <f t="shared" si="60"/>
        <v>0</v>
      </c>
      <c r="W62" s="216" t="str">
        <f t="shared" si="2"/>
        <v>N/A</v>
      </c>
      <c r="X62" s="246"/>
      <c r="Y62" s="15"/>
      <c r="Z62" s="371" t="e">
        <f>IF(OR(AND(#REF!&gt;0,H62&lt;0),AND(H62&gt;0,#REF!=0)),A62,"")</f>
        <v>#REF!</v>
      </c>
      <c r="AA62" s="1103">
        <f t="shared" si="54"/>
        <v>0</v>
      </c>
      <c r="AB62" s="1104">
        <f t="shared" si="61"/>
        <v>0</v>
      </c>
      <c r="AC62" s="1104">
        <f t="shared" si="61"/>
        <v>0</v>
      </c>
      <c r="AD62" s="1104">
        <f t="shared" si="61"/>
        <v>0</v>
      </c>
      <c r="AE62" s="1104">
        <f t="shared" si="61"/>
        <v>0</v>
      </c>
      <c r="AF62" s="1104">
        <f t="shared" si="61"/>
        <v>0</v>
      </c>
      <c r="AG62" s="1104">
        <f t="shared" si="61"/>
        <v>0</v>
      </c>
      <c r="AH62" s="1104">
        <f t="shared" si="61"/>
        <v>0</v>
      </c>
      <c r="AI62" s="1104">
        <f t="shared" si="61"/>
        <v>0</v>
      </c>
      <c r="AJ62" s="1104">
        <f t="shared" si="61"/>
        <v>0</v>
      </c>
      <c r="AK62" s="1104">
        <f t="shared" si="61"/>
        <v>0</v>
      </c>
      <c r="AL62" s="1104">
        <f t="shared" si="62"/>
        <v>0</v>
      </c>
      <c r="AM62" s="1104">
        <f t="shared" si="62"/>
        <v>0</v>
      </c>
      <c r="AN62" s="1104">
        <f t="shared" si="62"/>
        <v>0</v>
      </c>
      <c r="AO62" s="1104">
        <f t="shared" si="62"/>
        <v>0</v>
      </c>
      <c r="AP62" s="1104">
        <f t="shared" si="62"/>
        <v>0</v>
      </c>
      <c r="AQ62" s="1104">
        <f t="shared" si="62"/>
        <v>0</v>
      </c>
      <c r="AR62" s="1104">
        <f t="shared" si="62"/>
        <v>0</v>
      </c>
      <c r="AS62" s="1104">
        <f t="shared" si="62"/>
        <v>0</v>
      </c>
      <c r="AT62" s="1104">
        <f t="shared" si="62"/>
        <v>0</v>
      </c>
      <c r="AU62" s="1104">
        <f t="shared" si="62"/>
        <v>0</v>
      </c>
      <c r="AV62" s="730">
        <f>IFERROR((esc_elect*H62*kBTUperKWH+esc_gas*#REF!*kBTUperTherm+esc_steam*I62*kBTUperlbsSteam+#REF!*esc_chw*kBTUperUnit_Util4+J62*esc_hw*kBTUperUnit_Util5+K62*esc_oil*kBTUperUnit_Util6)/(H62*kBTUperKWH+#REF!*kBTUperTherm+I62*kBTUperlbsSteam+#REF!*kBTUperUnit_Util4+J62*kBTUperUnit_Util5+K62*kBTUperUnit_Util6),0)</f>
        <v>0</v>
      </c>
      <c r="AW62" s="397">
        <f t="shared" si="5"/>
        <v>0</v>
      </c>
      <c r="AX62" s="397">
        <f t="shared" si="6"/>
        <v>0</v>
      </c>
      <c r="AY62" s="397">
        <f t="shared" si="7"/>
        <v>0</v>
      </c>
      <c r="AZ62" s="397">
        <f t="shared" si="8"/>
        <v>0</v>
      </c>
      <c r="BA62" s="397">
        <f t="shared" si="9"/>
        <v>0</v>
      </c>
      <c r="BB62" s="397">
        <f t="shared" si="10"/>
        <v>0</v>
      </c>
      <c r="BC62" s="397">
        <f t="shared" si="11"/>
        <v>0</v>
      </c>
      <c r="BD62" s="397">
        <f t="shared" si="27"/>
        <v>0</v>
      </c>
      <c r="BE62" s="398">
        <f>BD62/'Building Info &amp; Assumptions'!$B$372</f>
        <v>0</v>
      </c>
      <c r="BF62" s="380"/>
      <c r="BG62" s="399">
        <f t="shared" si="12"/>
        <v>0</v>
      </c>
      <c r="BH62" s="399">
        <f t="shared" si="13"/>
        <v>0</v>
      </c>
      <c r="BI62" s="399">
        <f t="shared" si="14"/>
        <v>0</v>
      </c>
      <c r="BJ62" s="399">
        <f t="shared" si="15"/>
        <v>0</v>
      </c>
      <c r="BK62" s="399">
        <f t="shared" si="16"/>
        <v>0</v>
      </c>
      <c r="BL62" s="399">
        <f t="shared" si="17"/>
        <v>0</v>
      </c>
      <c r="BM62" s="399">
        <f t="shared" si="18"/>
        <v>0</v>
      </c>
      <c r="BN62" s="375"/>
      <c r="BO62" s="399">
        <f>IF(OR(N62="Constant Demand",O62="Constant Annual"),D62,$D$77*H62+IF(O62='Drop Down Lists'!$BB$2,$I$73*H62,IF(O62='Drop Down Lists'!$BB$4,$I$74*H62,IF(OR(N62='Drop Down Lists'!$BC$2,N62='Drop Down Lists'!$BC$4),$I$76*H62,IF(OR(N62='Drop Down Lists'!$BC$6,'Drop Down Lists'!$BC$8),$I$77*H62,IF(N62='Drop Down Lists'!$BC$5,$I$75*H62,$D$74*H62))))))</f>
        <v>0</v>
      </c>
      <c r="BP62" s="399">
        <f t="shared" si="19"/>
        <v>0</v>
      </c>
      <c r="BQ62" s="375"/>
      <c r="BR62" s="586">
        <f t="shared" si="20"/>
        <v>0</v>
      </c>
      <c r="BS62" s="401">
        <f t="shared" si="21"/>
        <v>0</v>
      </c>
      <c r="BT62" s="375"/>
      <c r="BU62" s="722" t="e">
        <f>VLOOKUP('Narrative &amp; Measures'!$A62,Alternatives!$C$15:$I$17,7,FALSE)</f>
        <v>#N/A</v>
      </c>
      <c r="BV62" s="722" t="e">
        <f>VLOOKUP('Narrative &amp; Measures'!$A62,Alternatives!$C$38:$I$57,7,FALSE)</f>
        <v>#N/A</v>
      </c>
      <c r="BW62" s="722" t="e">
        <f>VLOOKUP('Narrative &amp; Measures'!$A62,Alternatives!$C$63:$I$82,7,FALSE)</f>
        <v>#N/A</v>
      </c>
      <c r="BX62" s="722" t="e">
        <f>VLOOKUP('Narrative &amp; Measures'!$A62,Alternatives!$C$88:$I$107,7,FALSE)</f>
        <v>#N/A</v>
      </c>
      <c r="BY62" s="479"/>
      <c r="BZ62" s="723" t="e">
        <f t="shared" si="55"/>
        <v>#N/A</v>
      </c>
      <c r="CA62" s="723" t="e">
        <f t="shared" si="56"/>
        <v>#N/A</v>
      </c>
      <c r="CB62" s="723" t="e">
        <f t="shared" si="57"/>
        <v>#N/A</v>
      </c>
      <c r="CC62" s="722" t="e">
        <f t="shared" si="31"/>
        <v>#N/A</v>
      </c>
      <c r="CD62" s="722" t="e">
        <f t="shared" si="32"/>
        <v>#N/A</v>
      </c>
      <c r="CE62" s="722" t="e">
        <f t="shared" si="33"/>
        <v>#N/A</v>
      </c>
      <c r="CF62" s="722" t="e">
        <f t="shared" si="34"/>
        <v>#N/A</v>
      </c>
      <c r="CH62" s="726">
        <f>IF(AND(OR(B62="Deferred Maintenance",B62="Immediate Repairs: Life Safety and Critical"),_xlfn.IFNA(MATCH($A62,Alternatives!$C$15:$C$17,0),0)&gt;0,_xlfn.IFNA(VLOOKUP($A62,Alternatives!$C$15:$H$17,6,0)="Yes",0)),$P62,0)</f>
        <v>0</v>
      </c>
      <c r="CI62" s="726">
        <f>IF(AND(_xlfn.IFNA(MATCH($A62,Alternatives!$C$38:$C$57,0),0)&gt;0,_xlfn.IFNA(VLOOKUP($A62,Alternatives!$C$38:$H$57,6,0)="Yes",0)),$P62,0)</f>
        <v>0</v>
      </c>
      <c r="CJ62" s="726">
        <f>IF(AND(_xlfn.IFNA(MATCH($A62,Alternatives!$C$63:$C$82,0),0)&gt;0,_xlfn.IFNA(VLOOKUP($A62,Alternatives!$C$63:$H$82,6,0)="Yes",0)),$P62,0)</f>
        <v>0</v>
      </c>
      <c r="CK62" s="726">
        <f>IF(AND(_xlfn.IFNA(MATCH($A62,Alternatives!$C$88:$C$107,0),0)&gt;0,_xlfn.IFNA(VLOOKUP($A62,Alternatives!$C$88:$H$107,6,0)="Yes",0)),$P62,0)</f>
        <v>0</v>
      </c>
    </row>
    <row r="63" spans="1:89" s="104" customFormat="1" ht="42" customHeight="1" outlineLevel="1">
      <c r="A63" s="1106"/>
      <c r="B63" s="1097"/>
      <c r="C63" s="1098">
        <f t="shared" si="58"/>
        <v>0</v>
      </c>
      <c r="D63" s="351">
        <f t="shared" si="0"/>
        <v>0</v>
      </c>
      <c r="E63" s="595">
        <f>IF(B63='Drop Down Lists'!$AU$7,I63*Rate_NatGas+J63*Rate_Steam+K63*rate_util4+L63*Rate_Util5+M63*Rate_util6+H63*($I$75-$I$77),IF(OR(N63="Constant Demand",O63="Constant Annual"),D63,I63*Rate_NatGas+G63*Rate_EleckW+J63*Rate_Steam+K63*rate_util4+L63*Rate_Util5+M63*Rate_util6+IF(O63='Drop Down Lists'!$BB$2,$I$73*H63,IF(O63='Drop Down Lists'!$BB$3,$I$74*H63,IF(OR(N63='Drop Down Lists'!$BC$2,N63='Drop Down Lists'!$BC$4),$I$76*H63,IF(OR(N63='Drop Down Lists'!$BC$6,'Drop Down Lists'!$BC$8),$I$77*H63,IF(N63='Drop Down Lists'!$BC$5,$I$75*H63,$D$74*H63)))))))</f>
        <v>0</v>
      </c>
      <c r="F63" s="1105"/>
      <c r="G63" s="1099"/>
      <c r="H63" s="1099"/>
      <c r="I63" s="1099"/>
      <c r="J63" s="1100"/>
      <c r="K63" s="1100">
        <v>0</v>
      </c>
      <c r="L63" s="1100">
        <v>0</v>
      </c>
      <c r="M63" s="1100">
        <v>0</v>
      </c>
      <c r="N63" s="352"/>
      <c r="O63" s="352"/>
      <c r="P63" s="791">
        <f>IF(B63="Carbon Offsets",Q63/'Building Info &amp; Assumptions'!$B$119,H63*CO2_perEleckBTU*kBTUperKWH+I63*CO2_perNatGaskBTU*kBTUperTherm+J63*CO2_perSteamkBTU*kBTUperlbsSteam+K63*CO2_perUtil4kBTU*kBTUperUnit_Util4+L63*CO2_perUtil5kBTU*kBTUperUnit_Util5+M63*CO2_perUtil6kBTU*kBTUperUnit_Util6)</f>
        <v>0</v>
      </c>
      <c r="Q63" s="1101"/>
      <c r="R63" s="319">
        <f t="shared" si="1"/>
        <v>0</v>
      </c>
      <c r="S63" s="1101"/>
      <c r="T63" s="1102"/>
      <c r="U63" s="215">
        <f t="shared" si="59"/>
        <v>0</v>
      </c>
      <c r="V63" s="309">
        <f t="shared" si="60"/>
        <v>0</v>
      </c>
      <c r="W63" s="216" t="str">
        <f t="shared" si="2"/>
        <v>N/A</v>
      </c>
      <c r="X63" s="246"/>
      <c r="Y63" s="15"/>
      <c r="Z63" s="371" t="e">
        <f>IF(OR(AND(#REF!&gt;0,H63&lt;0),AND(H63&gt;0,#REF!=0)),A63,"")</f>
        <v>#REF!</v>
      </c>
      <c r="AA63" s="1103">
        <f t="shared" si="54"/>
        <v>0</v>
      </c>
      <c r="AB63" s="1104">
        <f t="shared" si="61"/>
        <v>0</v>
      </c>
      <c r="AC63" s="1104">
        <f t="shared" si="61"/>
        <v>0</v>
      </c>
      <c r="AD63" s="1104">
        <f t="shared" si="61"/>
        <v>0</v>
      </c>
      <c r="AE63" s="1104">
        <f t="shared" si="61"/>
        <v>0</v>
      </c>
      <c r="AF63" s="1104">
        <f t="shared" si="61"/>
        <v>0</v>
      </c>
      <c r="AG63" s="1104">
        <f t="shared" si="61"/>
        <v>0</v>
      </c>
      <c r="AH63" s="1104">
        <f t="shared" si="61"/>
        <v>0</v>
      </c>
      <c r="AI63" s="1104">
        <f t="shared" si="61"/>
        <v>0</v>
      </c>
      <c r="AJ63" s="1104">
        <f t="shared" si="61"/>
        <v>0</v>
      </c>
      <c r="AK63" s="1104">
        <f t="shared" si="61"/>
        <v>0</v>
      </c>
      <c r="AL63" s="1104">
        <f t="shared" si="62"/>
        <v>0</v>
      </c>
      <c r="AM63" s="1104">
        <f t="shared" si="62"/>
        <v>0</v>
      </c>
      <c r="AN63" s="1104">
        <f t="shared" si="62"/>
        <v>0</v>
      </c>
      <c r="AO63" s="1104">
        <f t="shared" si="62"/>
        <v>0</v>
      </c>
      <c r="AP63" s="1104">
        <f t="shared" si="62"/>
        <v>0</v>
      </c>
      <c r="AQ63" s="1104">
        <f t="shared" si="62"/>
        <v>0</v>
      </c>
      <c r="AR63" s="1104">
        <f t="shared" si="62"/>
        <v>0</v>
      </c>
      <c r="AS63" s="1104">
        <f t="shared" si="62"/>
        <v>0</v>
      </c>
      <c r="AT63" s="1104">
        <f t="shared" si="62"/>
        <v>0</v>
      </c>
      <c r="AU63" s="1104">
        <f t="shared" si="62"/>
        <v>0</v>
      </c>
      <c r="AV63" s="730">
        <f>IFERROR((esc_elect*H63*kBTUperKWH+esc_gas*#REF!*kBTUperTherm+esc_steam*I63*kBTUperlbsSteam+#REF!*esc_chw*kBTUperUnit_Util4+J63*esc_hw*kBTUperUnit_Util5+K63*esc_oil*kBTUperUnit_Util6)/(H63*kBTUperKWH+#REF!*kBTUperTherm+I63*kBTUperlbsSteam+#REF!*kBTUperUnit_Util4+J63*kBTUperUnit_Util5+K63*kBTUperUnit_Util6),0)</f>
        <v>0</v>
      </c>
      <c r="AW63" s="397">
        <f t="shared" si="5"/>
        <v>0</v>
      </c>
      <c r="AX63" s="397">
        <f t="shared" si="6"/>
        <v>0</v>
      </c>
      <c r="AY63" s="397">
        <f t="shared" si="7"/>
        <v>0</v>
      </c>
      <c r="AZ63" s="397">
        <f t="shared" si="8"/>
        <v>0</v>
      </c>
      <c r="BA63" s="397">
        <f t="shared" si="9"/>
        <v>0</v>
      </c>
      <c r="BB63" s="397">
        <f t="shared" si="10"/>
        <v>0</v>
      </c>
      <c r="BC63" s="397">
        <f t="shared" si="11"/>
        <v>0</v>
      </c>
      <c r="BD63" s="397">
        <f t="shared" si="27"/>
        <v>0</v>
      </c>
      <c r="BE63" s="398">
        <f>BD63/'Building Info &amp; Assumptions'!$B$372</f>
        <v>0</v>
      </c>
      <c r="BF63" s="380"/>
      <c r="BG63" s="399">
        <f t="shared" si="12"/>
        <v>0</v>
      </c>
      <c r="BH63" s="399">
        <f t="shared" si="13"/>
        <v>0</v>
      </c>
      <c r="BI63" s="399">
        <f t="shared" si="14"/>
        <v>0</v>
      </c>
      <c r="BJ63" s="399">
        <f t="shared" si="15"/>
        <v>0</v>
      </c>
      <c r="BK63" s="399">
        <f t="shared" si="16"/>
        <v>0</v>
      </c>
      <c r="BL63" s="399">
        <f t="shared" si="17"/>
        <v>0</v>
      </c>
      <c r="BM63" s="399">
        <f t="shared" si="18"/>
        <v>0</v>
      </c>
      <c r="BN63" s="375"/>
      <c r="BO63" s="399">
        <f>IF(OR(N63="Constant Demand",O63="Constant Annual"),D63,$D$77*H63+IF(O63='Drop Down Lists'!$BB$2,$I$73*H63,IF(O63='Drop Down Lists'!$BB$4,$I$74*H63,IF(OR(N63='Drop Down Lists'!$BC$2,N63='Drop Down Lists'!$BC$4),$I$76*H63,IF(OR(N63='Drop Down Lists'!$BC$6,'Drop Down Lists'!$BC$8),$I$77*H63,IF(N63='Drop Down Lists'!$BC$5,$I$75*H63,$D$74*H63))))))</f>
        <v>0</v>
      </c>
      <c r="BP63" s="399">
        <f t="shared" si="19"/>
        <v>0</v>
      </c>
      <c r="BQ63" s="375"/>
      <c r="BR63" s="586">
        <f t="shared" si="20"/>
        <v>0</v>
      </c>
      <c r="BS63" s="401">
        <f t="shared" si="21"/>
        <v>0</v>
      </c>
      <c r="BT63" s="375"/>
      <c r="BU63" s="722" t="e">
        <f>VLOOKUP('Narrative &amp; Measures'!$A63,Alternatives!$C$15:$I$17,7,FALSE)</f>
        <v>#N/A</v>
      </c>
      <c r="BV63" s="722" t="e">
        <f>VLOOKUP('Narrative &amp; Measures'!$A63,Alternatives!$C$38:$I$57,7,FALSE)</f>
        <v>#N/A</v>
      </c>
      <c r="BW63" s="722" t="e">
        <f>VLOOKUP('Narrative &amp; Measures'!$A63,Alternatives!$C$63:$I$82,7,FALSE)</f>
        <v>#N/A</v>
      </c>
      <c r="BX63" s="722" t="e">
        <f>VLOOKUP('Narrative &amp; Measures'!$A63,Alternatives!$C$88:$I$107,7,FALSE)</f>
        <v>#N/A</v>
      </c>
      <c r="BY63" s="479"/>
      <c r="BZ63" s="723" t="e">
        <f t="shared" si="55"/>
        <v>#N/A</v>
      </c>
      <c r="CA63" s="723" t="e">
        <f t="shared" si="56"/>
        <v>#N/A</v>
      </c>
      <c r="CB63" s="723" t="e">
        <f t="shared" si="57"/>
        <v>#N/A</v>
      </c>
      <c r="CC63" s="722" t="e">
        <f t="shared" si="31"/>
        <v>#N/A</v>
      </c>
      <c r="CD63" s="722" t="e">
        <f t="shared" si="32"/>
        <v>#N/A</v>
      </c>
      <c r="CE63" s="722" t="e">
        <f t="shared" si="33"/>
        <v>#N/A</v>
      </c>
      <c r="CF63" s="722" t="e">
        <f t="shared" si="34"/>
        <v>#N/A</v>
      </c>
      <c r="CH63" s="726">
        <f>IF(AND(OR(B63="Deferred Maintenance",B63="Immediate Repairs: Life Safety and Critical"),_xlfn.IFNA(MATCH($A63,Alternatives!$C$15:$C$17,0),0)&gt;0,_xlfn.IFNA(VLOOKUP($A63,Alternatives!$C$15:$H$17,6,0)="Yes",0)),$P63,0)</f>
        <v>0</v>
      </c>
      <c r="CI63" s="726">
        <f>IF(AND(_xlfn.IFNA(MATCH($A63,Alternatives!$C$38:$C$57,0),0)&gt;0,_xlfn.IFNA(VLOOKUP($A63,Alternatives!$C$38:$H$57,6,0)="Yes",0)),$P63,0)</f>
        <v>0</v>
      </c>
      <c r="CJ63" s="726">
        <f>IF(AND(_xlfn.IFNA(MATCH($A63,Alternatives!$C$63:$C$82,0),0)&gt;0,_xlfn.IFNA(VLOOKUP($A63,Alternatives!$C$63:$H$82,6,0)="Yes",0)),$P63,0)</f>
        <v>0</v>
      </c>
      <c r="CK63" s="726">
        <f>IF(AND(_xlfn.IFNA(MATCH($A63,Alternatives!$C$88:$C$107,0),0)&gt;0,_xlfn.IFNA(VLOOKUP($A63,Alternatives!$C$88:$H$107,6,0)="Yes",0)),$P63,0)</f>
        <v>0</v>
      </c>
    </row>
    <row r="64" spans="1:89" s="104" customFormat="1" ht="42" customHeight="1" outlineLevel="1">
      <c r="A64" s="1106"/>
      <c r="B64" s="1097"/>
      <c r="C64" s="1098">
        <f t="shared" si="58"/>
        <v>0</v>
      </c>
      <c r="D64" s="351">
        <f t="shared" si="0"/>
        <v>0</v>
      </c>
      <c r="E64" s="595">
        <f>IF(B64='Drop Down Lists'!$AU$7,I64*Rate_NatGas+J64*Rate_Steam+K64*rate_util4+L64*Rate_Util5+M64*Rate_util6+H64*($I$75-$I$77),IF(OR(N64="Constant Demand",O64="Constant Annual"),D64,I64*Rate_NatGas+G64*Rate_EleckW+J64*Rate_Steam+K64*rate_util4+L64*Rate_Util5+M64*Rate_util6+IF(O64='Drop Down Lists'!$BB$2,$I$73*H64,IF(O64='Drop Down Lists'!$BB$3,$I$74*H64,IF(OR(N64='Drop Down Lists'!$BC$2,N64='Drop Down Lists'!$BC$4),$I$76*H64,IF(OR(N64='Drop Down Lists'!$BC$6,'Drop Down Lists'!$BC$8),$I$77*H64,IF(N64='Drop Down Lists'!$BC$5,$I$75*H64,$D$74*H64)))))))</f>
        <v>0</v>
      </c>
      <c r="F64" s="1105"/>
      <c r="G64" s="1099"/>
      <c r="H64" s="1099"/>
      <c r="I64" s="1099"/>
      <c r="J64" s="1100"/>
      <c r="K64" s="1100">
        <v>0</v>
      </c>
      <c r="L64" s="1100">
        <v>0</v>
      </c>
      <c r="M64" s="1100">
        <v>0</v>
      </c>
      <c r="N64" s="352"/>
      <c r="O64" s="352"/>
      <c r="P64" s="791">
        <f>IF(B64="Carbon Offsets",Q64/'Building Info &amp; Assumptions'!$B$119,H64*CO2_perEleckBTU*kBTUperKWH+I64*CO2_perNatGaskBTU*kBTUperTherm+J64*CO2_perSteamkBTU*kBTUperlbsSteam+K64*CO2_perUtil4kBTU*kBTUperUnit_Util4+L64*CO2_perUtil5kBTU*kBTUperUnit_Util5+M64*CO2_perUtil6kBTU*kBTUperUnit_Util6)</f>
        <v>0</v>
      </c>
      <c r="Q64" s="1101"/>
      <c r="R64" s="319">
        <f t="shared" si="1"/>
        <v>0</v>
      </c>
      <c r="S64" s="1101"/>
      <c r="T64" s="1102"/>
      <c r="U64" s="215">
        <f t="shared" si="59"/>
        <v>0</v>
      </c>
      <c r="V64" s="309">
        <f t="shared" si="60"/>
        <v>0</v>
      </c>
      <c r="W64" s="216" t="str">
        <f t="shared" si="2"/>
        <v>N/A</v>
      </c>
      <c r="X64" s="246"/>
      <c r="Y64" s="15"/>
      <c r="Z64" s="371" t="e">
        <f>IF(OR(AND(#REF!&gt;0,H64&lt;0),AND(H64&gt;0,#REF!=0)),A64,"")</f>
        <v>#REF!</v>
      </c>
      <c r="AA64" s="1103">
        <f t="shared" si="54"/>
        <v>0</v>
      </c>
      <c r="AB64" s="1104">
        <f t="shared" si="61"/>
        <v>0</v>
      </c>
      <c r="AC64" s="1104">
        <f t="shared" si="61"/>
        <v>0</v>
      </c>
      <c r="AD64" s="1104">
        <f t="shared" si="61"/>
        <v>0</v>
      </c>
      <c r="AE64" s="1104">
        <f t="shared" si="61"/>
        <v>0</v>
      </c>
      <c r="AF64" s="1104">
        <f t="shared" si="61"/>
        <v>0</v>
      </c>
      <c r="AG64" s="1104">
        <f t="shared" si="61"/>
        <v>0</v>
      </c>
      <c r="AH64" s="1104">
        <f t="shared" si="61"/>
        <v>0</v>
      </c>
      <c r="AI64" s="1104">
        <f t="shared" si="61"/>
        <v>0</v>
      </c>
      <c r="AJ64" s="1104">
        <f t="shared" si="61"/>
        <v>0</v>
      </c>
      <c r="AK64" s="1104">
        <f t="shared" si="61"/>
        <v>0</v>
      </c>
      <c r="AL64" s="1104">
        <f t="shared" si="62"/>
        <v>0</v>
      </c>
      <c r="AM64" s="1104">
        <f t="shared" si="62"/>
        <v>0</v>
      </c>
      <c r="AN64" s="1104">
        <f t="shared" si="62"/>
        <v>0</v>
      </c>
      <c r="AO64" s="1104">
        <f t="shared" si="62"/>
        <v>0</v>
      </c>
      <c r="AP64" s="1104">
        <f t="shared" si="62"/>
        <v>0</v>
      </c>
      <c r="AQ64" s="1104">
        <f t="shared" si="62"/>
        <v>0</v>
      </c>
      <c r="AR64" s="1104">
        <f t="shared" si="62"/>
        <v>0</v>
      </c>
      <c r="AS64" s="1104">
        <f t="shared" si="62"/>
        <v>0</v>
      </c>
      <c r="AT64" s="1104">
        <f t="shared" si="62"/>
        <v>0</v>
      </c>
      <c r="AU64" s="1104">
        <f t="shared" si="62"/>
        <v>0</v>
      </c>
      <c r="AV64" s="730">
        <f>IFERROR((esc_elect*H64*kBTUperKWH+esc_gas*#REF!*kBTUperTherm+esc_steam*I64*kBTUperlbsSteam+#REF!*esc_chw*kBTUperUnit_Util4+J64*esc_hw*kBTUperUnit_Util5+K64*esc_oil*kBTUperUnit_Util6)/(H64*kBTUperKWH+#REF!*kBTUperTherm+I64*kBTUperlbsSteam+#REF!*kBTUperUnit_Util4+J64*kBTUperUnit_Util5+K64*kBTUperUnit_Util6),0)</f>
        <v>0</v>
      </c>
      <c r="AW64" s="397">
        <f t="shared" si="5"/>
        <v>0</v>
      </c>
      <c r="AX64" s="397">
        <f t="shared" si="6"/>
        <v>0</v>
      </c>
      <c r="AY64" s="397">
        <f t="shared" si="7"/>
        <v>0</v>
      </c>
      <c r="AZ64" s="397">
        <f t="shared" si="8"/>
        <v>0</v>
      </c>
      <c r="BA64" s="397">
        <f t="shared" si="9"/>
        <v>0</v>
      </c>
      <c r="BB64" s="397">
        <f t="shared" si="10"/>
        <v>0</v>
      </c>
      <c r="BC64" s="397">
        <f t="shared" si="11"/>
        <v>0</v>
      </c>
      <c r="BD64" s="397">
        <f t="shared" si="27"/>
        <v>0</v>
      </c>
      <c r="BE64" s="398">
        <f>BD64/'Building Info &amp; Assumptions'!$B$372</f>
        <v>0</v>
      </c>
      <c r="BF64" s="380"/>
      <c r="BG64" s="399">
        <f t="shared" si="12"/>
        <v>0</v>
      </c>
      <c r="BH64" s="399">
        <f t="shared" si="13"/>
        <v>0</v>
      </c>
      <c r="BI64" s="399">
        <f t="shared" si="14"/>
        <v>0</v>
      </c>
      <c r="BJ64" s="399">
        <f t="shared" si="15"/>
        <v>0</v>
      </c>
      <c r="BK64" s="399">
        <f t="shared" si="16"/>
        <v>0</v>
      </c>
      <c r="BL64" s="399">
        <f t="shared" si="17"/>
        <v>0</v>
      </c>
      <c r="BM64" s="399">
        <f t="shared" si="18"/>
        <v>0</v>
      </c>
      <c r="BN64" s="375"/>
      <c r="BO64" s="399">
        <f>IF(OR(N64="Constant Demand",O64="Constant Annual"),D64,$D$77*H64+IF(O64='Drop Down Lists'!$BB$2,$I$73*H64,IF(O64='Drop Down Lists'!$BB$4,$I$74*H64,IF(OR(N64='Drop Down Lists'!$BC$2,N64='Drop Down Lists'!$BC$4),$I$76*H64,IF(OR(N64='Drop Down Lists'!$BC$6,'Drop Down Lists'!$BC$8),$I$77*H64,IF(N64='Drop Down Lists'!$BC$5,$I$75*H64,$D$74*H64))))))</f>
        <v>0</v>
      </c>
      <c r="BP64" s="399">
        <f t="shared" si="19"/>
        <v>0</v>
      </c>
      <c r="BQ64" s="375"/>
      <c r="BR64" s="586">
        <f t="shared" si="20"/>
        <v>0</v>
      </c>
      <c r="BS64" s="401">
        <f t="shared" si="21"/>
        <v>0</v>
      </c>
      <c r="BT64" s="375"/>
      <c r="BU64" s="722" t="e">
        <f>VLOOKUP('Narrative &amp; Measures'!$A64,Alternatives!$C$15:$I$17,7,FALSE)</f>
        <v>#N/A</v>
      </c>
      <c r="BV64" s="722" t="e">
        <f>VLOOKUP('Narrative &amp; Measures'!$A64,Alternatives!$C$38:$I$57,7,FALSE)</f>
        <v>#N/A</v>
      </c>
      <c r="BW64" s="722" t="e">
        <f>VLOOKUP('Narrative &amp; Measures'!$A64,Alternatives!$C$63:$I$82,7,FALSE)</f>
        <v>#N/A</v>
      </c>
      <c r="BX64" s="722" t="e">
        <f>VLOOKUP('Narrative &amp; Measures'!$A64,Alternatives!$C$88:$I$107,7,FALSE)</f>
        <v>#N/A</v>
      </c>
      <c r="BY64" s="479"/>
      <c r="BZ64" s="723" t="e">
        <f t="shared" si="55"/>
        <v>#N/A</v>
      </c>
      <c r="CA64" s="723" t="e">
        <f t="shared" si="56"/>
        <v>#N/A</v>
      </c>
      <c r="CB64" s="723" t="e">
        <f t="shared" si="57"/>
        <v>#N/A</v>
      </c>
      <c r="CC64" s="722" t="e">
        <f t="shared" si="31"/>
        <v>#N/A</v>
      </c>
      <c r="CD64" s="722" t="e">
        <f t="shared" si="32"/>
        <v>#N/A</v>
      </c>
      <c r="CE64" s="722" t="e">
        <f t="shared" si="33"/>
        <v>#N/A</v>
      </c>
      <c r="CF64" s="722" t="e">
        <f t="shared" si="34"/>
        <v>#N/A</v>
      </c>
      <c r="CH64" s="726">
        <f>IF(AND(OR(B64="Deferred Maintenance",B64="Immediate Repairs: Life Safety and Critical"),_xlfn.IFNA(MATCH($A64,Alternatives!$C$15:$C$17,0),0)&gt;0,_xlfn.IFNA(VLOOKUP($A64,Alternatives!$C$15:$H$17,6,0)="Yes",0)),$P64,0)</f>
        <v>0</v>
      </c>
      <c r="CI64" s="726">
        <f>IF(AND(_xlfn.IFNA(MATCH($A64,Alternatives!$C$38:$C$57,0),0)&gt;0,_xlfn.IFNA(VLOOKUP($A64,Alternatives!$C$38:$H$57,6,0)="Yes",0)),$P64,0)</f>
        <v>0</v>
      </c>
      <c r="CJ64" s="726">
        <f>IF(AND(_xlfn.IFNA(MATCH($A64,Alternatives!$C$63:$C$82,0),0)&gt;0,_xlfn.IFNA(VLOOKUP($A64,Alternatives!$C$63:$H$82,6,0)="Yes",0)),$P64,0)</f>
        <v>0</v>
      </c>
      <c r="CK64" s="726">
        <f>IF(AND(_xlfn.IFNA(MATCH($A64,Alternatives!$C$88:$C$107,0),0)&gt;0,_xlfn.IFNA(VLOOKUP($A64,Alternatives!$C$88:$H$107,6,0)="Yes",0)),$P64,0)</f>
        <v>0</v>
      </c>
    </row>
    <row r="65" spans="1:89" s="104" customFormat="1" ht="42" customHeight="1" outlineLevel="1">
      <c r="A65" s="1106"/>
      <c r="B65" s="1097"/>
      <c r="C65" s="1098">
        <f t="shared" si="58"/>
        <v>0</v>
      </c>
      <c r="D65" s="351">
        <f t="shared" si="0"/>
        <v>0</v>
      </c>
      <c r="E65" s="595">
        <f>IF(B65='Drop Down Lists'!$AU$7,I65*Rate_NatGas+J65*Rate_Steam+K65*rate_util4+L65*Rate_Util5+M65*Rate_util6+H65*($I$75-$I$77),IF(OR(N65="Constant Demand",O65="Constant Annual"),D65,I65*Rate_NatGas+G65*Rate_EleckW+J65*Rate_Steam+K65*rate_util4+L65*Rate_Util5+M65*Rate_util6+IF(O65='Drop Down Lists'!$BB$2,$I$73*H65,IF(O65='Drop Down Lists'!$BB$3,$I$74*H65,IF(OR(N65='Drop Down Lists'!$BC$2,N65='Drop Down Lists'!$BC$4),$I$76*H65,IF(OR(N65='Drop Down Lists'!$BC$6,'Drop Down Lists'!$BC$8),$I$77*H65,IF(N65='Drop Down Lists'!$BC$5,$I$75*H65,$D$74*H65)))))))</f>
        <v>0</v>
      </c>
      <c r="F65" s="1105"/>
      <c r="G65" s="1099"/>
      <c r="H65" s="1099"/>
      <c r="I65" s="1099"/>
      <c r="J65" s="1100"/>
      <c r="K65" s="1100">
        <v>0</v>
      </c>
      <c r="L65" s="1100">
        <v>0</v>
      </c>
      <c r="M65" s="1100">
        <v>0</v>
      </c>
      <c r="N65" s="352"/>
      <c r="O65" s="352"/>
      <c r="P65" s="791">
        <f>IF(B65="Carbon Offsets",Q65/'Building Info &amp; Assumptions'!$B$119,H65*CO2_perEleckBTU*kBTUperKWH+I65*CO2_perNatGaskBTU*kBTUperTherm+J65*CO2_perSteamkBTU*kBTUperlbsSteam+K65*CO2_perUtil4kBTU*kBTUperUnit_Util4+L65*CO2_perUtil5kBTU*kBTUperUnit_Util5+M65*CO2_perUtil6kBTU*kBTUperUnit_Util6)</f>
        <v>0</v>
      </c>
      <c r="Q65" s="1101"/>
      <c r="R65" s="319">
        <f t="shared" si="1"/>
        <v>0</v>
      </c>
      <c r="S65" s="1101"/>
      <c r="T65" s="1102"/>
      <c r="U65" s="215">
        <f t="shared" si="59"/>
        <v>0</v>
      </c>
      <c r="V65" s="309">
        <f t="shared" si="60"/>
        <v>0</v>
      </c>
      <c r="W65" s="216" t="str">
        <f t="shared" si="2"/>
        <v>N/A</v>
      </c>
      <c r="X65" s="246"/>
      <c r="Y65" s="15"/>
      <c r="Z65" s="371" t="e">
        <f>IF(OR(AND(#REF!&gt;0,H65&lt;0),AND(H65&gt;0,#REF!=0)),A65,"")</f>
        <v>#REF!</v>
      </c>
      <c r="AA65" s="1103">
        <f t="shared" si="54"/>
        <v>0</v>
      </c>
      <c r="AB65" s="1104">
        <f t="shared" si="61"/>
        <v>0</v>
      </c>
      <c r="AC65" s="1104">
        <f t="shared" si="61"/>
        <v>0</v>
      </c>
      <c r="AD65" s="1104">
        <f t="shared" si="61"/>
        <v>0</v>
      </c>
      <c r="AE65" s="1104">
        <f t="shared" si="61"/>
        <v>0</v>
      </c>
      <c r="AF65" s="1104">
        <f t="shared" si="61"/>
        <v>0</v>
      </c>
      <c r="AG65" s="1104">
        <f t="shared" si="61"/>
        <v>0</v>
      </c>
      <c r="AH65" s="1104">
        <f t="shared" si="61"/>
        <v>0</v>
      </c>
      <c r="AI65" s="1104">
        <f t="shared" si="61"/>
        <v>0</v>
      </c>
      <c r="AJ65" s="1104">
        <f t="shared" si="61"/>
        <v>0</v>
      </c>
      <c r="AK65" s="1104">
        <f t="shared" si="61"/>
        <v>0</v>
      </c>
      <c r="AL65" s="1104">
        <f t="shared" si="62"/>
        <v>0</v>
      </c>
      <c r="AM65" s="1104">
        <f t="shared" si="62"/>
        <v>0</v>
      </c>
      <c r="AN65" s="1104">
        <f t="shared" si="62"/>
        <v>0</v>
      </c>
      <c r="AO65" s="1104">
        <f t="shared" si="62"/>
        <v>0</v>
      </c>
      <c r="AP65" s="1104">
        <f t="shared" si="62"/>
        <v>0</v>
      </c>
      <c r="AQ65" s="1104">
        <f t="shared" si="62"/>
        <v>0</v>
      </c>
      <c r="AR65" s="1104">
        <f t="shared" si="62"/>
        <v>0</v>
      </c>
      <c r="AS65" s="1104">
        <f t="shared" si="62"/>
        <v>0</v>
      </c>
      <c r="AT65" s="1104">
        <f t="shared" si="62"/>
        <v>0</v>
      </c>
      <c r="AU65" s="1104">
        <f t="shared" si="62"/>
        <v>0</v>
      </c>
      <c r="AV65" s="730">
        <f>IFERROR((esc_elect*H65*kBTUperKWH+esc_gas*#REF!*kBTUperTherm+esc_steam*I65*kBTUperlbsSteam+#REF!*esc_chw*kBTUperUnit_Util4+J65*esc_hw*kBTUperUnit_Util5+K65*esc_oil*kBTUperUnit_Util6)/(H65*kBTUperKWH+#REF!*kBTUperTherm+I65*kBTUperlbsSteam+#REF!*kBTUperUnit_Util4+J65*kBTUperUnit_Util5+K65*kBTUperUnit_Util6),0)</f>
        <v>0</v>
      </c>
      <c r="AW65" s="397">
        <f t="shared" si="5"/>
        <v>0</v>
      </c>
      <c r="AX65" s="397">
        <f t="shared" si="6"/>
        <v>0</v>
      </c>
      <c r="AY65" s="397">
        <f t="shared" si="7"/>
        <v>0</v>
      </c>
      <c r="AZ65" s="397">
        <f t="shared" si="8"/>
        <v>0</v>
      </c>
      <c r="BA65" s="397">
        <f t="shared" si="9"/>
        <v>0</v>
      </c>
      <c r="BB65" s="397">
        <f t="shared" si="10"/>
        <v>0</v>
      </c>
      <c r="BC65" s="397">
        <f t="shared" si="11"/>
        <v>0</v>
      </c>
      <c r="BD65" s="397">
        <f t="shared" si="27"/>
        <v>0</v>
      </c>
      <c r="BE65" s="398">
        <f>BD65/'Building Info &amp; Assumptions'!$B$372</f>
        <v>0</v>
      </c>
      <c r="BF65" s="380"/>
      <c r="BG65" s="399">
        <f t="shared" si="12"/>
        <v>0</v>
      </c>
      <c r="BH65" s="399">
        <f t="shared" si="13"/>
        <v>0</v>
      </c>
      <c r="BI65" s="399">
        <f t="shared" si="14"/>
        <v>0</v>
      </c>
      <c r="BJ65" s="399">
        <f t="shared" si="15"/>
        <v>0</v>
      </c>
      <c r="BK65" s="399">
        <f t="shared" si="16"/>
        <v>0</v>
      </c>
      <c r="BL65" s="399">
        <f t="shared" si="17"/>
        <v>0</v>
      </c>
      <c r="BM65" s="399">
        <f t="shared" si="18"/>
        <v>0</v>
      </c>
      <c r="BN65" s="375"/>
      <c r="BO65" s="399">
        <f>IF(OR(N65="Constant Demand",O65="Constant Annual"),D65,$D$77*H65+IF(O65='Drop Down Lists'!$BB$2,$I$73*H65,IF(O65='Drop Down Lists'!$BB$4,$I$74*H65,IF(OR(N65='Drop Down Lists'!$BC$2,N65='Drop Down Lists'!$BC$4),$I$76*H65,IF(OR(N65='Drop Down Lists'!$BC$6,'Drop Down Lists'!$BC$8),$I$77*H65,IF(N65='Drop Down Lists'!$BC$5,$I$75*H65,$D$74*H65))))))</f>
        <v>0</v>
      </c>
      <c r="BP65" s="399">
        <f t="shared" si="19"/>
        <v>0</v>
      </c>
      <c r="BQ65" s="375"/>
      <c r="BR65" s="586">
        <f t="shared" si="20"/>
        <v>0</v>
      </c>
      <c r="BS65" s="401">
        <f t="shared" si="21"/>
        <v>0</v>
      </c>
      <c r="BT65" s="375"/>
      <c r="BU65" s="722" t="e">
        <f>VLOOKUP('Narrative &amp; Measures'!$A65,Alternatives!$C$15:$I$17,7,FALSE)</f>
        <v>#N/A</v>
      </c>
      <c r="BV65" s="722" t="e">
        <f>VLOOKUP('Narrative &amp; Measures'!$A65,Alternatives!$C$38:$I$57,7,FALSE)</f>
        <v>#N/A</v>
      </c>
      <c r="BW65" s="722" t="e">
        <f>VLOOKUP('Narrative &amp; Measures'!$A65,Alternatives!$C$63:$I$82,7,FALSE)</f>
        <v>#N/A</v>
      </c>
      <c r="BX65" s="722" t="e">
        <f>VLOOKUP('Narrative &amp; Measures'!$A65,Alternatives!$C$88:$I$107,7,FALSE)</f>
        <v>#N/A</v>
      </c>
      <c r="BY65" s="479"/>
      <c r="BZ65" s="723" t="e">
        <f t="shared" si="55"/>
        <v>#N/A</v>
      </c>
      <c r="CA65" s="723" t="e">
        <f t="shared" si="56"/>
        <v>#N/A</v>
      </c>
      <c r="CB65" s="723" t="e">
        <f t="shared" si="57"/>
        <v>#N/A</v>
      </c>
      <c r="CC65" s="722" t="e">
        <f t="shared" si="31"/>
        <v>#N/A</v>
      </c>
      <c r="CD65" s="722" t="e">
        <f t="shared" si="32"/>
        <v>#N/A</v>
      </c>
      <c r="CE65" s="722" t="e">
        <f t="shared" si="33"/>
        <v>#N/A</v>
      </c>
      <c r="CF65" s="722" t="e">
        <f t="shared" si="34"/>
        <v>#N/A</v>
      </c>
      <c r="CH65" s="726">
        <f>IF(AND(OR(B65="Deferred Maintenance",B65="Immediate Repairs: Life Safety and Critical"),_xlfn.IFNA(MATCH($A65,Alternatives!$C$15:$C$17,0),0)&gt;0,_xlfn.IFNA(VLOOKUP($A65,Alternatives!$C$15:$H$17,6,0)="Yes",0)),$P65,0)</f>
        <v>0</v>
      </c>
      <c r="CI65" s="726">
        <f>IF(AND(_xlfn.IFNA(MATCH($A65,Alternatives!$C$38:$C$57,0),0)&gt;0,_xlfn.IFNA(VLOOKUP($A65,Alternatives!$C$38:$H$57,6,0)="Yes",0)),$P65,0)</f>
        <v>0</v>
      </c>
      <c r="CJ65" s="726">
        <f>IF(AND(_xlfn.IFNA(MATCH($A65,Alternatives!$C$63:$C$82,0),0)&gt;0,_xlfn.IFNA(VLOOKUP($A65,Alternatives!$C$63:$H$82,6,0)="Yes",0)),$P65,0)</f>
        <v>0</v>
      </c>
      <c r="CK65" s="726">
        <f>IF(AND(_xlfn.IFNA(MATCH($A65,Alternatives!$C$88:$C$107,0),0)&gt;0,_xlfn.IFNA(VLOOKUP($A65,Alternatives!$C$88:$H$107,6,0)="Yes",0)),$P65,0)</f>
        <v>0</v>
      </c>
    </row>
    <row r="66" spans="1:89" s="104" customFormat="1" ht="42" customHeight="1" outlineLevel="1">
      <c r="A66" s="1106"/>
      <c r="B66" s="1097"/>
      <c r="C66" s="1098">
        <f t="shared" si="23"/>
        <v>0</v>
      </c>
      <c r="D66" s="351">
        <f t="shared" si="0"/>
        <v>0</v>
      </c>
      <c r="E66" s="595">
        <f>IF(B66='Drop Down Lists'!$AU$7,I66*Rate_NatGas+J66*Rate_Steam+K66*rate_util4+L66*Rate_Util5+M66*Rate_util6+H66*($I$75-$I$77),IF(OR(N66="Constant Demand",O66="Constant Annual"),D66,I66*Rate_NatGas+G66*Rate_EleckW+J66*Rate_Steam+K66*rate_util4+L66*Rate_Util5+M66*Rate_util6+IF(O66='Drop Down Lists'!$BB$2,$I$73*H66,IF(O66='Drop Down Lists'!$BB$3,$I$74*H66,IF(OR(N66='Drop Down Lists'!$BC$2,N66='Drop Down Lists'!$BC$4),$I$76*H66,IF(OR(N66='Drop Down Lists'!$BC$6,'Drop Down Lists'!$BC$8),$I$77*H66,IF(N66='Drop Down Lists'!$BC$5,$I$75*H66,$D$74*H66)))))))</f>
        <v>0</v>
      </c>
      <c r="F66" s="1105"/>
      <c r="G66" s="1099"/>
      <c r="H66" s="1099"/>
      <c r="I66" s="1099"/>
      <c r="J66" s="1100"/>
      <c r="K66" s="1100">
        <v>0</v>
      </c>
      <c r="L66" s="1100">
        <v>0</v>
      </c>
      <c r="M66" s="1100">
        <v>0</v>
      </c>
      <c r="N66" s="352"/>
      <c r="O66" s="352"/>
      <c r="P66" s="791">
        <f>IF(B66="Carbon Offsets",Q66/'Building Info &amp; Assumptions'!$B$119,H66*CO2_perEleckBTU*kBTUperKWH+I66*CO2_perNatGaskBTU*kBTUperTherm+J66*CO2_perSteamkBTU*kBTUperlbsSteam+K66*CO2_perUtil4kBTU*kBTUperUnit_Util4+L66*CO2_perUtil5kBTU*kBTUperUnit_Util5+M66*CO2_perUtil6kBTU*kBTUperUnit_Util6)</f>
        <v>0</v>
      </c>
      <c r="Q66" s="1101"/>
      <c r="R66" s="319">
        <f t="shared" si="1"/>
        <v>0</v>
      </c>
      <c r="S66" s="1101"/>
      <c r="T66" s="1102"/>
      <c r="U66" s="215">
        <f t="shared" si="37"/>
        <v>0</v>
      </c>
      <c r="V66" s="309">
        <f t="shared" si="38"/>
        <v>0</v>
      </c>
      <c r="W66" s="216" t="str">
        <f t="shared" si="2"/>
        <v>N/A</v>
      </c>
      <c r="X66" s="246"/>
      <c r="Y66" s="15"/>
      <c r="Z66" s="371" t="e">
        <f>IF(OR(AND(#REF!&gt;0,H66&lt;0),AND(H66&gt;0,#REF!=0)),A66,"")</f>
        <v>#REF!</v>
      </c>
      <c r="AA66" s="1103">
        <f t="shared" si="54"/>
        <v>0</v>
      </c>
      <c r="AB66" s="1104">
        <f t="shared" si="61"/>
        <v>0</v>
      </c>
      <c r="AC66" s="1104">
        <f t="shared" si="61"/>
        <v>0</v>
      </c>
      <c r="AD66" s="1104">
        <f t="shared" si="61"/>
        <v>0</v>
      </c>
      <c r="AE66" s="1104">
        <f t="shared" si="61"/>
        <v>0</v>
      </c>
      <c r="AF66" s="1104">
        <f t="shared" si="61"/>
        <v>0</v>
      </c>
      <c r="AG66" s="1104">
        <f t="shared" si="61"/>
        <v>0</v>
      </c>
      <c r="AH66" s="1104">
        <f t="shared" si="61"/>
        <v>0</v>
      </c>
      <c r="AI66" s="1104">
        <f t="shared" si="61"/>
        <v>0</v>
      </c>
      <c r="AJ66" s="1104">
        <f t="shared" si="61"/>
        <v>0</v>
      </c>
      <c r="AK66" s="1104">
        <f t="shared" si="61"/>
        <v>0</v>
      </c>
      <c r="AL66" s="1104">
        <f t="shared" si="62"/>
        <v>0</v>
      </c>
      <c r="AM66" s="1104">
        <f t="shared" si="62"/>
        <v>0</v>
      </c>
      <c r="AN66" s="1104">
        <f t="shared" si="62"/>
        <v>0</v>
      </c>
      <c r="AO66" s="1104">
        <f t="shared" si="62"/>
        <v>0</v>
      </c>
      <c r="AP66" s="1104">
        <f t="shared" si="62"/>
        <v>0</v>
      </c>
      <c r="AQ66" s="1104">
        <f t="shared" si="62"/>
        <v>0</v>
      </c>
      <c r="AR66" s="1104">
        <f t="shared" si="62"/>
        <v>0</v>
      </c>
      <c r="AS66" s="1104">
        <f t="shared" si="62"/>
        <v>0</v>
      </c>
      <c r="AT66" s="1104">
        <f t="shared" si="62"/>
        <v>0</v>
      </c>
      <c r="AU66" s="1104">
        <f t="shared" si="62"/>
        <v>0</v>
      </c>
      <c r="AV66" s="730">
        <f>IFERROR((esc_elect*H66*kBTUperKWH+esc_gas*#REF!*kBTUperTherm+esc_steam*I66*kBTUperlbsSteam+#REF!*esc_chw*kBTUperUnit_Util4+J66*esc_hw*kBTUperUnit_Util5+K66*esc_oil*kBTUperUnit_Util6)/(H66*kBTUperKWH+#REF!*kBTUperTherm+I66*kBTUperlbsSteam+#REF!*kBTUperUnit_Util4+J66*kBTUperUnit_Util5+K66*kBTUperUnit_Util6),0)</f>
        <v>0</v>
      </c>
      <c r="AW66" s="397">
        <f t="shared" si="5"/>
        <v>0</v>
      </c>
      <c r="AX66" s="397">
        <f t="shared" si="6"/>
        <v>0</v>
      </c>
      <c r="AY66" s="397">
        <f t="shared" si="7"/>
        <v>0</v>
      </c>
      <c r="AZ66" s="397">
        <f t="shared" si="8"/>
        <v>0</v>
      </c>
      <c r="BA66" s="397">
        <f t="shared" si="9"/>
        <v>0</v>
      </c>
      <c r="BB66" s="397">
        <f t="shared" si="10"/>
        <v>0</v>
      </c>
      <c r="BC66" s="397">
        <f t="shared" si="11"/>
        <v>0</v>
      </c>
      <c r="BD66" s="397">
        <f t="shared" si="27"/>
        <v>0</v>
      </c>
      <c r="BE66" s="398">
        <f>BD66/'Building Info &amp; Assumptions'!$B$372</f>
        <v>0</v>
      </c>
      <c r="BF66" s="380"/>
      <c r="BG66" s="399">
        <f t="shared" si="12"/>
        <v>0</v>
      </c>
      <c r="BH66" s="399">
        <f t="shared" si="13"/>
        <v>0</v>
      </c>
      <c r="BI66" s="399">
        <f t="shared" si="14"/>
        <v>0</v>
      </c>
      <c r="BJ66" s="399">
        <f t="shared" si="15"/>
        <v>0</v>
      </c>
      <c r="BK66" s="399">
        <f t="shared" si="16"/>
        <v>0</v>
      </c>
      <c r="BL66" s="399">
        <f t="shared" si="17"/>
        <v>0</v>
      </c>
      <c r="BM66" s="399">
        <f t="shared" si="18"/>
        <v>0</v>
      </c>
      <c r="BN66" s="375"/>
      <c r="BO66" s="399">
        <f>IF(OR(N66="Constant Demand",O66="Constant Annual"),D66,$D$77*H66+IF(O66='Drop Down Lists'!$BB$2,$I$73*H66,IF(O66='Drop Down Lists'!$BB$4,$I$74*H66,IF(OR(N66='Drop Down Lists'!$BC$2,N66='Drop Down Lists'!$BC$4),$I$76*H66,IF(OR(N66='Drop Down Lists'!$BC$6,'Drop Down Lists'!$BC$8),$I$77*H66,IF(N66='Drop Down Lists'!$BC$5,$I$75*H66,$D$74*H66))))))</f>
        <v>0</v>
      </c>
      <c r="BP66" s="399">
        <f t="shared" si="19"/>
        <v>0</v>
      </c>
      <c r="BQ66" s="375"/>
      <c r="BR66" s="586">
        <f t="shared" si="20"/>
        <v>0</v>
      </c>
      <c r="BS66" s="401">
        <f t="shared" si="21"/>
        <v>0</v>
      </c>
      <c r="BT66" s="375"/>
      <c r="BU66" s="722" t="e">
        <f>VLOOKUP('Narrative &amp; Measures'!$A66,Alternatives!$C$15:$I$17,7,FALSE)</f>
        <v>#N/A</v>
      </c>
      <c r="BV66" s="722" t="e">
        <f>VLOOKUP('Narrative &amp; Measures'!$A66,Alternatives!$C$38:$I$57,7,FALSE)</f>
        <v>#N/A</v>
      </c>
      <c r="BW66" s="722" t="e">
        <f>VLOOKUP('Narrative &amp; Measures'!$A66,Alternatives!$C$63:$I$82,7,FALSE)</f>
        <v>#N/A</v>
      </c>
      <c r="BX66" s="722" t="e">
        <f>VLOOKUP('Narrative &amp; Measures'!$A66,Alternatives!$C$88:$I$107,7,FALSE)</f>
        <v>#N/A</v>
      </c>
      <c r="BY66" s="479"/>
      <c r="BZ66" s="723" t="e">
        <f t="shared" si="55"/>
        <v>#N/A</v>
      </c>
      <c r="CA66" s="723" t="e">
        <f t="shared" si="56"/>
        <v>#N/A</v>
      </c>
      <c r="CB66" s="723" t="e">
        <f t="shared" si="57"/>
        <v>#N/A</v>
      </c>
      <c r="CC66" s="722" t="e">
        <f t="shared" si="31"/>
        <v>#N/A</v>
      </c>
      <c r="CD66" s="722" t="e">
        <f t="shared" si="32"/>
        <v>#N/A</v>
      </c>
      <c r="CE66" s="722" t="e">
        <f t="shared" si="33"/>
        <v>#N/A</v>
      </c>
      <c r="CF66" s="722" t="e">
        <f t="shared" si="34"/>
        <v>#N/A</v>
      </c>
      <c r="CH66" s="726">
        <f>IF(AND(OR(B66="Deferred Maintenance",B66="Immediate Repairs: Life Safety and Critical"),_xlfn.IFNA(MATCH($A66,Alternatives!$C$15:$C$17,0),0)&gt;0,_xlfn.IFNA(VLOOKUP($A66,Alternatives!$C$15:$H$17,6,0)="Yes",0)),$P66,0)</f>
        <v>0</v>
      </c>
      <c r="CI66" s="726">
        <f>IF(AND(_xlfn.IFNA(MATCH($A66,Alternatives!$C$38:$C$57,0),0)&gt;0,_xlfn.IFNA(VLOOKUP($A66,Alternatives!$C$38:$H$57,6,0)="Yes",0)),$P66,0)</f>
        <v>0</v>
      </c>
      <c r="CJ66" s="726">
        <f>IF(AND(_xlfn.IFNA(MATCH($A66,Alternatives!$C$63:$C$82,0),0)&gt;0,_xlfn.IFNA(VLOOKUP($A66,Alternatives!$C$63:$H$82,6,0)="Yes",0)),$P66,0)</f>
        <v>0</v>
      </c>
      <c r="CK66" s="726">
        <f>IF(AND(_xlfn.IFNA(MATCH($A66,Alternatives!$C$88:$C$107,0),0)&gt;0,_xlfn.IFNA(VLOOKUP($A66,Alternatives!$C$88:$H$107,6,0)="Yes",0)),$P66,0)</f>
        <v>0</v>
      </c>
    </row>
    <row r="67" spans="1:89" s="104" customFormat="1" ht="42" customHeight="1" outlineLevel="1" thickBot="1">
      <c r="A67" s="1108"/>
      <c r="B67" s="1109"/>
      <c r="C67" s="1098">
        <f t="shared" si="23"/>
        <v>0</v>
      </c>
      <c r="D67" s="351">
        <f t="shared" si="0"/>
        <v>0</v>
      </c>
      <c r="E67" s="595">
        <f>IF(B67='Drop Down Lists'!$AU$7,I67*Rate_NatGas+J67*Rate_Steam+K67*rate_util4+L67*Rate_Util5+M67*Rate_util6+H67*($I$75-$I$77),IF(OR(N67="Constant Demand",O67="Constant Annual"),D67,I67*Rate_NatGas+G67*Rate_EleckW+J67*Rate_Steam+K67*rate_util4+L67*Rate_Util5+M67*Rate_util6+IF(O67='Drop Down Lists'!$BB$2,$I$73*H67,IF(O67='Drop Down Lists'!$BB$3,$I$74*H67,IF(OR(N67='Drop Down Lists'!$BC$2,N67='Drop Down Lists'!$BC$4),$I$76*H67,IF(OR(N67='Drop Down Lists'!$BC$6,'Drop Down Lists'!$BC$8),$I$77*H67,IF(N67='Drop Down Lists'!$BC$5,$I$75*H67,$D$74*H67)))))))</f>
        <v>0</v>
      </c>
      <c r="F67" s="1110"/>
      <c r="G67" s="1111"/>
      <c r="H67" s="1111"/>
      <c r="I67" s="1099"/>
      <c r="J67" s="1100"/>
      <c r="K67" s="1100">
        <v>0</v>
      </c>
      <c r="L67" s="1100">
        <v>0</v>
      </c>
      <c r="M67" s="1100">
        <v>0</v>
      </c>
      <c r="N67" s="353"/>
      <c r="O67" s="353"/>
      <c r="P67" s="791">
        <f>IF(B67="Carbon Offsets",Q67/'Building Info &amp; Assumptions'!$B$119,H67*CO2_perEleckBTU*kBTUperKWH+I67*CO2_perNatGaskBTU*kBTUperTherm+J67*CO2_perSteamkBTU*kBTUperlbsSteam+K67*CO2_perUtil4kBTU*kBTUperUnit_Util4+L67*CO2_perUtil5kBTU*kBTUperUnit_Util5+M67*CO2_perUtil6kBTU*kBTUperUnit_Util6)</f>
        <v>0</v>
      </c>
      <c r="Q67" s="1112"/>
      <c r="R67" s="319">
        <f t="shared" si="1"/>
        <v>0</v>
      </c>
      <c r="S67" s="1112"/>
      <c r="T67" s="1113"/>
      <c r="U67" s="215">
        <f t="shared" si="37"/>
        <v>0</v>
      </c>
      <c r="V67" s="309">
        <f t="shared" si="38"/>
        <v>0</v>
      </c>
      <c r="W67" s="216" t="str">
        <f t="shared" si="2"/>
        <v>N/A</v>
      </c>
      <c r="X67" s="246"/>
      <c r="Y67" s="15"/>
      <c r="Z67" s="371" t="e">
        <f>IF(OR(AND(#REF!&gt;0,H67&lt;0),AND(H67&gt;0,#REF!=0)),A67,"")</f>
        <v>#REF!</v>
      </c>
      <c r="AA67" s="1103">
        <f t="shared" si="26"/>
        <v>0</v>
      </c>
      <c r="AB67" s="1104">
        <f t="shared" si="61"/>
        <v>0</v>
      </c>
      <c r="AC67" s="1104">
        <f t="shared" si="61"/>
        <v>0</v>
      </c>
      <c r="AD67" s="1104">
        <f t="shared" si="61"/>
        <v>0</v>
      </c>
      <c r="AE67" s="1104">
        <f t="shared" si="61"/>
        <v>0</v>
      </c>
      <c r="AF67" s="1104">
        <f t="shared" si="61"/>
        <v>0</v>
      </c>
      <c r="AG67" s="1104">
        <f t="shared" si="61"/>
        <v>0</v>
      </c>
      <c r="AH67" s="1104">
        <f t="shared" si="61"/>
        <v>0</v>
      </c>
      <c r="AI67" s="1104">
        <f t="shared" si="61"/>
        <v>0</v>
      </c>
      <c r="AJ67" s="1104">
        <f t="shared" si="61"/>
        <v>0</v>
      </c>
      <c r="AK67" s="1104">
        <f t="shared" si="61"/>
        <v>0</v>
      </c>
      <c r="AL67" s="1104">
        <f t="shared" si="62"/>
        <v>0</v>
      </c>
      <c r="AM67" s="1104">
        <f t="shared" si="62"/>
        <v>0</v>
      </c>
      <c r="AN67" s="1104">
        <f t="shared" si="62"/>
        <v>0</v>
      </c>
      <c r="AO67" s="1104">
        <f t="shared" si="62"/>
        <v>0</v>
      </c>
      <c r="AP67" s="1104">
        <f t="shared" si="62"/>
        <v>0</v>
      </c>
      <c r="AQ67" s="1104">
        <f t="shared" si="62"/>
        <v>0</v>
      </c>
      <c r="AR67" s="1104">
        <f t="shared" si="62"/>
        <v>0</v>
      </c>
      <c r="AS67" s="1104">
        <f t="shared" si="62"/>
        <v>0</v>
      </c>
      <c r="AT67" s="1104">
        <f t="shared" si="62"/>
        <v>0</v>
      </c>
      <c r="AU67" s="1104">
        <f t="shared" si="62"/>
        <v>0</v>
      </c>
      <c r="AV67" s="730">
        <f>IFERROR((esc_elect*H67*kBTUperKWH+esc_gas*#REF!*kBTUperTherm+esc_steam*I67*kBTUperlbsSteam+#REF!*esc_chw*kBTUperUnit_Util4+J67*esc_hw*kBTUperUnit_Util5+K67*esc_oil*kBTUperUnit_Util6)/(H67*kBTUperKWH+#REF!*kBTUperTherm+I67*kBTUperlbsSteam+#REF!*kBTUperUnit_Util4+J67*kBTUperUnit_Util5+K67*kBTUperUnit_Util6),0)</f>
        <v>0</v>
      </c>
      <c r="AW67" s="585">
        <f t="shared" si="5"/>
        <v>0</v>
      </c>
      <c r="AX67" s="397">
        <f t="shared" si="6"/>
        <v>0</v>
      </c>
      <c r="AY67" s="397">
        <f t="shared" si="7"/>
        <v>0</v>
      </c>
      <c r="AZ67" s="397">
        <f t="shared" si="8"/>
        <v>0</v>
      </c>
      <c r="BA67" s="397">
        <f t="shared" si="9"/>
        <v>0</v>
      </c>
      <c r="BB67" s="397">
        <f t="shared" si="10"/>
        <v>0</v>
      </c>
      <c r="BC67" s="397">
        <f t="shared" si="11"/>
        <v>0</v>
      </c>
      <c r="BD67" s="397">
        <f t="shared" si="27"/>
        <v>0</v>
      </c>
      <c r="BE67" s="398">
        <f>BD67/'Building Info &amp; Assumptions'!$B$372</f>
        <v>0</v>
      </c>
      <c r="BF67" s="382"/>
      <c r="BG67" s="402">
        <f t="shared" si="12"/>
        <v>0</v>
      </c>
      <c r="BH67" s="402">
        <f t="shared" si="13"/>
        <v>0</v>
      </c>
      <c r="BI67" s="399">
        <f t="shared" si="14"/>
        <v>0</v>
      </c>
      <c r="BJ67" s="399">
        <f t="shared" si="15"/>
        <v>0</v>
      </c>
      <c r="BK67" s="399">
        <f t="shared" si="16"/>
        <v>0</v>
      </c>
      <c r="BL67" s="399">
        <f t="shared" si="17"/>
        <v>0</v>
      </c>
      <c r="BM67" s="399">
        <f t="shared" si="18"/>
        <v>0</v>
      </c>
      <c r="BN67" s="375"/>
      <c r="BO67" s="402">
        <f>IF(OR(N67="Constant Demand",O67="Constant Annual"),D67,$D$77*H67+IF(O67='Drop Down Lists'!$BB$2,$I$73*H67,IF(O67='Drop Down Lists'!$BB$4,$I$74*H67,IF(OR(N67='Drop Down Lists'!$BC$2,N67='Drop Down Lists'!$BC$4),$I$76*H67,IF(OR(N67='Drop Down Lists'!$BC$6,'Drop Down Lists'!$BC$8),$I$77*H67,IF(N67='Drop Down Lists'!$BC$5,$I$75*H67,$D$74*H67))))))</f>
        <v>0</v>
      </c>
      <c r="BP67" s="402">
        <f t="shared" si="19"/>
        <v>0</v>
      </c>
      <c r="BQ67" s="375"/>
      <c r="BR67" s="401">
        <f t="shared" si="20"/>
        <v>0</v>
      </c>
      <c r="BS67" s="586">
        <f t="shared" si="21"/>
        <v>0</v>
      </c>
      <c r="BT67" s="375"/>
      <c r="BU67" s="722" t="e">
        <f>VLOOKUP('Narrative &amp; Measures'!$A67,Alternatives!$C$15:$I$17,7,FALSE)</f>
        <v>#N/A</v>
      </c>
      <c r="BV67" s="722" t="e">
        <f>VLOOKUP('Narrative &amp; Measures'!$A67,Alternatives!$C$38:$I$57,7,FALSE)</f>
        <v>#N/A</v>
      </c>
      <c r="BW67" s="722" t="e">
        <f>VLOOKUP('Narrative &amp; Measures'!$A67,Alternatives!$C$63:$I$82,7,FALSE)</f>
        <v>#N/A</v>
      </c>
      <c r="BX67" s="722" t="e">
        <f>VLOOKUP('Narrative &amp; Measures'!$A67,Alternatives!$C$88:$I$107,7,FALSE)</f>
        <v>#N/A</v>
      </c>
      <c r="BY67" s="479"/>
      <c r="BZ67" s="723" t="e">
        <f t="shared" si="28"/>
        <v>#N/A</v>
      </c>
      <c r="CA67" s="723" t="e">
        <f t="shared" si="29"/>
        <v>#N/A</v>
      </c>
      <c r="CB67" s="723" t="e">
        <f t="shared" si="30"/>
        <v>#N/A</v>
      </c>
      <c r="CC67" s="722" t="e">
        <f t="shared" si="31"/>
        <v>#N/A</v>
      </c>
      <c r="CD67" s="722" t="e">
        <f t="shared" si="32"/>
        <v>#N/A</v>
      </c>
      <c r="CE67" s="722" t="e">
        <f t="shared" si="33"/>
        <v>#N/A</v>
      </c>
      <c r="CF67" s="722" t="e">
        <f t="shared" si="34"/>
        <v>#N/A</v>
      </c>
      <c r="CH67" s="726">
        <f>IF(AND(OR(B67="Deferred Maintenance",B67="Immediate Repairs: Life Safety and Critical"),_xlfn.IFNA(MATCH($A67,Alternatives!$C$15:$C$17,0),0)&gt;0,_xlfn.IFNA(VLOOKUP($A67,Alternatives!$C$15:$H$17,6,0)="Yes",0)),$P67,0)</f>
        <v>0</v>
      </c>
      <c r="CI67" s="726">
        <f>IF(AND(_xlfn.IFNA(MATCH($A67,Alternatives!$C$38:$C$57,0),0)&gt;0,_xlfn.IFNA(VLOOKUP($A67,Alternatives!$C$38:$H$57,6,0)="Yes",0)),$P67,0)</f>
        <v>0</v>
      </c>
      <c r="CJ67" s="726">
        <f>IF(AND(_xlfn.IFNA(MATCH($A67,Alternatives!$C$63:$C$82,0),0)&gt;0,_xlfn.IFNA(VLOOKUP($A67,Alternatives!$C$63:$H$82,6,0)="Yes",0)),$P67,0)</f>
        <v>0</v>
      </c>
      <c r="CK67" s="726">
        <f>IF(AND(_xlfn.IFNA(MATCH($A67,Alternatives!$C$88:$C$107,0),0)&gt;0,_xlfn.IFNA(VLOOKUP($A67,Alternatives!$C$88:$H$107,6,0)="Yes",0)),$P67,0)</f>
        <v>0</v>
      </c>
    </row>
    <row r="68" spans="1:89" s="104" customFormat="1" ht="25.5" customHeight="1" thickBot="1">
      <c r="A68" s="295" t="s">
        <v>507</v>
      </c>
      <c r="B68" s="296"/>
      <c r="C68" s="297">
        <f>SUM(C28:C38)</f>
        <v>2603000</v>
      </c>
      <c r="D68" s="297">
        <f>SUM(D28:D38)</f>
        <v>2583000</v>
      </c>
      <c r="E68" s="297">
        <f>SUM(E28:E38)</f>
        <v>2453000</v>
      </c>
      <c r="F68" s="297">
        <f>SUM(F28:F48)</f>
        <v>-100000</v>
      </c>
      <c r="G68" s="298">
        <f>SUM(G28:G48)</f>
        <v>-15700</v>
      </c>
      <c r="H68" s="298">
        <f>SUM(H28:H48)</f>
        <v>-19900000</v>
      </c>
      <c r="I68" s="298">
        <f>SUM(I28:I38)</f>
        <v>0</v>
      </c>
      <c r="J68" s="298"/>
      <c r="K68" s="298"/>
      <c r="L68" s="298"/>
      <c r="M68" s="298">
        <f>SUM(M28:M38)</f>
        <v>0</v>
      </c>
      <c r="N68" s="307"/>
      <c r="O68" s="307"/>
      <c r="P68" s="298">
        <f>SUM(P28:P32)</f>
        <v>2649.1527120000001</v>
      </c>
      <c r="Q68" s="299">
        <f>SUM(Q28:Q41)</f>
        <v>42400000</v>
      </c>
      <c r="R68" s="305"/>
      <c r="S68" s="297">
        <f>SUM(S28:S48)</f>
        <v>0</v>
      </c>
      <c r="T68" s="297"/>
      <c r="U68" s="298">
        <f>SUM(U28:U38)</f>
        <v>42400000</v>
      </c>
      <c r="V68" s="298">
        <f>SUM(V28:V38)</f>
        <v>-30256000</v>
      </c>
      <c r="W68" s="300">
        <f>IF(C68=0,0,U68/C68)</f>
        <v>16.288897426046869</v>
      </c>
      <c r="X68" s="318"/>
      <c r="Y68" s="15"/>
      <c r="Z68" s="15"/>
      <c r="AA68" s="403">
        <f t="shared" ref="AA68:AU68" si="63">SUM(AA28:AA67)</f>
        <v>42400000</v>
      </c>
      <c r="AB68" s="403">
        <f t="shared" si="63"/>
        <v>2533000</v>
      </c>
      <c r="AC68" s="403">
        <f t="shared" si="63"/>
        <v>2533000</v>
      </c>
      <c r="AD68" s="403">
        <f t="shared" si="63"/>
        <v>2533000</v>
      </c>
      <c r="AE68" s="403">
        <f t="shared" si="63"/>
        <v>2533000</v>
      </c>
      <c r="AF68" s="403">
        <f t="shared" si="63"/>
        <v>2533000</v>
      </c>
      <c r="AG68" s="403">
        <f t="shared" si="63"/>
        <v>2533000</v>
      </c>
      <c r="AH68" s="403">
        <f t="shared" si="63"/>
        <v>2533000</v>
      </c>
      <c r="AI68" s="403">
        <f t="shared" si="63"/>
        <v>2533000</v>
      </c>
      <c r="AJ68" s="403">
        <f t="shared" si="63"/>
        <v>2533000</v>
      </c>
      <c r="AK68" s="403">
        <f t="shared" si="63"/>
        <v>2533000</v>
      </c>
      <c r="AL68" s="403">
        <f t="shared" si="63"/>
        <v>2463000</v>
      </c>
      <c r="AM68" s="403">
        <f t="shared" si="63"/>
        <v>2463000</v>
      </c>
      <c r="AN68" s="403">
        <f t="shared" si="63"/>
        <v>2463000</v>
      </c>
      <c r="AO68" s="403">
        <f t="shared" si="63"/>
        <v>2463000</v>
      </c>
      <c r="AP68" s="403">
        <f t="shared" si="63"/>
        <v>2463000</v>
      </c>
      <c r="AQ68" s="403">
        <f t="shared" si="63"/>
        <v>628000</v>
      </c>
      <c r="AR68" s="403">
        <f t="shared" si="63"/>
        <v>628000</v>
      </c>
      <c r="AS68" s="403">
        <f t="shared" si="63"/>
        <v>628000</v>
      </c>
      <c r="AT68" s="403">
        <f t="shared" si="63"/>
        <v>628000</v>
      </c>
      <c r="AU68" s="403">
        <f t="shared" si="63"/>
        <v>628000</v>
      </c>
      <c r="AV68" s="375"/>
      <c r="AW68" s="404">
        <f>SUM(AW28:AW67)</f>
        <v>-45.265866666666653</v>
      </c>
      <c r="AX68" s="404">
        <f t="shared" ref="AX68:BS68" si="64">SUM(AX28:AX67)</f>
        <v>-45.265866666666653</v>
      </c>
      <c r="AY68" s="404"/>
      <c r="AZ68" s="404"/>
      <c r="BA68" s="404"/>
      <c r="BB68" s="404"/>
      <c r="BC68" s="404"/>
      <c r="BD68" s="405">
        <f t="shared" si="64"/>
        <v>4.5902666666666612</v>
      </c>
      <c r="BE68" s="406">
        <f t="shared" si="64"/>
        <v>2.6494395760373352E-2</v>
      </c>
      <c r="BF68" s="382"/>
      <c r="BG68" s="407">
        <f t="shared" si="64"/>
        <v>-1990000</v>
      </c>
      <c r="BH68" s="407">
        <f t="shared" si="64"/>
        <v>-157000</v>
      </c>
      <c r="BI68" s="407">
        <f t="shared" si="64"/>
        <v>0</v>
      </c>
      <c r="BJ68" s="407"/>
      <c r="BK68" s="407"/>
      <c r="BL68" s="407"/>
      <c r="BM68" s="407"/>
      <c r="BN68" s="375"/>
      <c r="BO68" s="407">
        <f t="shared" si="64"/>
        <v>-2761000</v>
      </c>
      <c r="BP68" s="407">
        <f t="shared" si="64"/>
        <v>-157000</v>
      </c>
      <c r="BQ68" s="375"/>
      <c r="BR68" s="400">
        <f>MAX(BG68,BO68)+BI68</f>
        <v>-1990000</v>
      </c>
      <c r="BS68" s="407">
        <f t="shared" si="64"/>
        <v>-157000</v>
      </c>
      <c r="BT68" s="375"/>
      <c r="BU68" s="375"/>
      <c r="BV68" s="375"/>
      <c r="BW68" s="375"/>
      <c r="BX68" s="375"/>
      <c r="BY68" s="375"/>
      <c r="BZ68" s="381"/>
      <c r="CA68" s="381"/>
      <c r="CB68" s="381"/>
    </row>
    <row r="69" spans="1:89" s="129" customFormat="1" ht="25.5" customHeight="1">
      <c r="A69" s="240"/>
      <c r="B69" s="240"/>
      <c r="C69" s="242"/>
      <c r="D69" s="242"/>
      <c r="E69" s="242"/>
      <c r="F69" s="243"/>
      <c r="G69" s="244"/>
      <c r="H69" s="241"/>
      <c r="I69" s="241"/>
      <c r="J69" s="241"/>
      <c r="K69" s="241"/>
      <c r="L69" s="241"/>
      <c r="M69" s="241"/>
      <c r="N69" s="241"/>
      <c r="O69" s="241"/>
      <c r="P69" s="241"/>
      <c r="Q69" s="245"/>
      <c r="R69" s="245"/>
      <c r="S69" s="245"/>
      <c r="T69" s="174"/>
      <c r="U69" s="243"/>
      <c r="V69" s="243"/>
      <c r="W69" s="246"/>
      <c r="X69" s="246"/>
      <c r="AA69" s="408"/>
      <c r="AB69" s="408"/>
      <c r="AC69" s="408"/>
      <c r="AD69" s="409"/>
      <c r="AE69" s="408"/>
      <c r="AF69" s="408"/>
      <c r="AG69" s="408"/>
      <c r="AH69" s="408"/>
      <c r="AI69" s="408"/>
      <c r="AJ69" s="408"/>
      <c r="AK69" s="408"/>
      <c r="AL69" s="408"/>
      <c r="AM69" s="408"/>
      <c r="AN69" s="408"/>
      <c r="AO69" s="408"/>
      <c r="AP69" s="378"/>
      <c r="AQ69" s="378"/>
      <c r="AR69" s="378"/>
      <c r="AS69" s="378"/>
      <c r="AT69" s="378"/>
      <c r="AU69" s="378"/>
      <c r="AV69" s="378"/>
      <c r="AW69" s="378"/>
      <c r="AX69" s="378"/>
      <c r="AY69" s="378"/>
      <c r="AZ69" s="378"/>
      <c r="BA69" s="378"/>
      <c r="BB69" s="378"/>
      <c r="BC69" s="378"/>
      <c r="BD69" s="378"/>
      <c r="BE69" s="378"/>
      <c r="BF69" s="378"/>
      <c r="BG69" s="378"/>
      <c r="BH69" s="378"/>
      <c r="BI69" s="378"/>
      <c r="BJ69" s="378"/>
      <c r="BK69" s="378"/>
      <c r="BL69" s="378"/>
      <c r="BM69" s="378"/>
      <c r="BN69" s="378"/>
      <c r="BO69" s="378"/>
      <c r="BP69" s="378"/>
      <c r="BQ69" s="378"/>
      <c r="BR69" s="378"/>
      <c r="BS69" s="378"/>
      <c r="BT69" s="378"/>
      <c r="BU69" s="378"/>
      <c r="BV69" s="378"/>
      <c r="BW69" s="378"/>
      <c r="BX69" s="378"/>
      <c r="BY69" s="378"/>
      <c r="BZ69" s="378"/>
      <c r="CA69" s="378"/>
      <c r="CB69" s="408"/>
    </row>
    <row r="70" spans="1:89" s="129" customFormat="1" ht="25.5" customHeight="1">
      <c r="A70" s="240"/>
      <c r="B70" s="240"/>
      <c r="C70" s="242"/>
      <c r="D70" s="242"/>
      <c r="E70" s="242"/>
      <c r="F70" s="243"/>
      <c r="G70" s="244"/>
      <c r="H70" s="241"/>
      <c r="I70" s="241"/>
      <c r="J70" s="241"/>
      <c r="K70" s="241"/>
      <c r="L70" s="241"/>
      <c r="M70" s="241"/>
      <c r="N70" s="241"/>
      <c r="O70" s="241"/>
      <c r="P70" s="241"/>
      <c r="Q70" s="245"/>
      <c r="R70" s="245"/>
      <c r="S70" s="245"/>
      <c r="T70" s="174"/>
      <c r="U70" s="243"/>
      <c r="V70" s="243"/>
      <c r="W70" s="246"/>
      <c r="X70" s="246"/>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row>
    <row r="71" spans="1:89" s="104" customFormat="1" ht="15">
      <c r="A71" s="15"/>
      <c r="B71" s="15"/>
      <c r="C71" s="15"/>
      <c r="D71" s="15"/>
      <c r="E71" s="15"/>
      <c r="F71" s="15"/>
      <c r="G71" s="16"/>
      <c r="H71" s="18"/>
      <c r="I71" s="18"/>
      <c r="J71" s="18"/>
      <c r="K71" s="18"/>
      <c r="L71" s="18"/>
      <c r="M71" s="18"/>
      <c r="N71" s="18"/>
      <c r="O71" s="18"/>
      <c r="P71" s="18"/>
      <c r="Q71" s="17"/>
      <c r="R71" s="17"/>
      <c r="S71" s="17"/>
      <c r="T71" s="17"/>
      <c r="U71" s="17"/>
      <c r="V71" s="17"/>
      <c r="W71" s="16"/>
      <c r="X71" s="252"/>
      <c r="Y71" s="15"/>
      <c r="Z71" s="15"/>
      <c r="AA71" s="15"/>
      <c r="AB71" s="15"/>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row>
    <row r="72" spans="1:89" s="104" customFormat="1" ht="15">
      <c r="A72" s="15"/>
      <c r="B72" s="15"/>
      <c r="C72" s="348" t="s">
        <v>508</v>
      </c>
      <c r="D72" s="348"/>
      <c r="E72" s="348"/>
      <c r="F72" s="15"/>
      <c r="H72" s="347" t="str">
        <f>'Building Info &amp; Assumptions'!E163</f>
        <v>Custom Electricity Rates</v>
      </c>
      <c r="I72" s="24"/>
      <c r="J72" s="18"/>
      <c r="K72" s="18"/>
      <c r="L72" s="18"/>
      <c r="M72" s="18"/>
      <c r="N72" s="108"/>
      <c r="O72" s="18"/>
      <c r="P72" s="18"/>
      <c r="Q72" s="17"/>
      <c r="R72" s="17"/>
      <c r="S72" s="17"/>
      <c r="T72" s="17"/>
      <c r="U72" s="17"/>
      <c r="V72" s="17"/>
      <c r="W72" s="16"/>
      <c r="X72" s="252"/>
      <c r="Y72" s="15"/>
      <c r="Z72" s="15"/>
      <c r="AA72" s="15"/>
      <c r="AB72" s="15"/>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row>
    <row r="73" spans="1:89" s="104" customFormat="1" ht="15">
      <c r="C73" s="105" t="s">
        <v>509</v>
      </c>
      <c r="D73" s="1114">
        <f>Rate_ElecBlended</f>
        <v>0.13894736842105262</v>
      </c>
      <c r="E73" s="1115" t="s">
        <v>510</v>
      </c>
      <c r="F73" s="1115"/>
      <c r="H73" s="346" t="str">
        <f>'Building Info &amp; Assumptions'!E164</f>
        <v>Summer Rate $/kWh</v>
      </c>
      <c r="I73" s="1116">
        <f>'Building Info &amp; Assumptions'!F164</f>
        <v>0.2</v>
      </c>
      <c r="J73" s="108"/>
      <c r="K73" s="108"/>
      <c r="L73" s="108"/>
      <c r="M73" s="108"/>
      <c r="P73" s="108"/>
      <c r="Q73" s="18"/>
      <c r="R73" s="18"/>
      <c r="S73" s="17"/>
      <c r="T73" s="17"/>
      <c r="U73" s="17"/>
      <c r="V73" s="17"/>
      <c r="W73" s="16"/>
      <c r="X73" s="252"/>
      <c r="Y73" s="15"/>
      <c r="Z73" s="15"/>
      <c r="AA73" s="15"/>
      <c r="AB73" s="15"/>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row>
    <row r="74" spans="1:89" s="104" customFormat="1" ht="15">
      <c r="C74" s="105" t="s">
        <v>511</v>
      </c>
      <c r="D74" s="1114">
        <f>Rate_EleckWh</f>
        <v>0.1</v>
      </c>
      <c r="E74" s="1115" t="s">
        <v>510</v>
      </c>
      <c r="F74" s="1115"/>
      <c r="H74" s="346" t="str">
        <f>'Building Info &amp; Assumptions'!E165</f>
        <v>Winter Rate $/kWh</v>
      </c>
      <c r="I74" s="1116">
        <f>'Building Info &amp; Assumptions'!F165</f>
        <v>0.1</v>
      </c>
      <c r="J74" s="108"/>
      <c r="K74" s="108"/>
      <c r="L74" s="108"/>
      <c r="M74" s="108"/>
      <c r="P74" s="108"/>
      <c r="Q74" s="18"/>
      <c r="R74" s="18"/>
      <c r="S74" s="17"/>
      <c r="T74" s="17"/>
      <c r="U74" s="17"/>
      <c r="V74" s="17"/>
      <c r="W74" s="16"/>
      <c r="X74" s="252"/>
      <c r="Y74" s="15"/>
      <c r="Z74" s="15"/>
      <c r="AA74" s="15"/>
      <c r="AB74" s="15"/>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row>
    <row r="75" spans="1:89" s="104" customFormat="1" ht="15">
      <c r="C75" s="105" t="s">
        <v>512</v>
      </c>
      <c r="D75" s="1114">
        <f>Rate_EleckW</f>
        <v>10</v>
      </c>
      <c r="E75" s="1115" t="s">
        <v>513</v>
      </c>
      <c r="F75" s="1115"/>
      <c r="H75" s="346" t="str">
        <f>'Building Info &amp; Assumptions'!E167</f>
        <v>Peak $/kWh</v>
      </c>
      <c r="I75" s="1116">
        <f>'Building Info &amp; Assumptions'!F167</f>
        <v>0.2</v>
      </c>
      <c r="J75" s="108"/>
      <c r="K75" s="108"/>
      <c r="L75" s="108"/>
      <c r="M75" s="108"/>
      <c r="P75" s="108"/>
      <c r="Q75" s="18"/>
      <c r="R75" s="18"/>
      <c r="S75" s="17"/>
      <c r="T75" s="17"/>
      <c r="U75" s="17"/>
      <c r="V75" s="17"/>
      <c r="W75" s="16"/>
      <c r="X75" s="252"/>
      <c r="Y75" s="15"/>
      <c r="Z75" s="15"/>
      <c r="AA75" s="15"/>
      <c r="AB75" s="15"/>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row>
    <row r="76" spans="1:89" s="104" customFormat="1" ht="15">
      <c r="C76" s="105" t="str">
        <f>"Assumed Rate "&amp;'Building Info &amp; Assumptions'!A348</f>
        <v>Assumed Rate Natural Gas</v>
      </c>
      <c r="D76" s="1114">
        <f>Rate_NatGas</f>
        <v>0</v>
      </c>
      <c r="E76" s="1117" t="str">
        <f>"/"&amp;'Building Info &amp; Assumptions'!C348</f>
        <v>/therms</v>
      </c>
      <c r="F76" s="1117"/>
      <c r="H76" s="346" t="str">
        <f>'Building Info &amp; Assumptions'!E168</f>
        <v>Partial-Peak $/kWh</v>
      </c>
      <c r="I76" s="1116">
        <f>'Building Info &amp; Assumptions'!F168</f>
        <v>0.15</v>
      </c>
      <c r="J76" s="108"/>
      <c r="K76" s="108"/>
      <c r="L76" s="108"/>
      <c r="M76" s="108"/>
      <c r="P76" s="108"/>
      <c r="Q76" s="18"/>
      <c r="R76" s="18"/>
      <c r="S76" s="17"/>
      <c r="T76" s="17"/>
      <c r="U76" s="17"/>
      <c r="V76" s="17"/>
      <c r="W76" s="16"/>
      <c r="X76" s="252"/>
      <c r="Y76" s="15"/>
      <c r="Z76" s="15"/>
      <c r="AA76" s="15"/>
      <c r="AB76" s="15"/>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row>
    <row r="77" spans="1:89" s="104" customFormat="1" ht="15">
      <c r="C77" s="105" t="str">
        <f>"Assumed Rate "&amp;'Building Info &amp; Assumptions'!A349</f>
        <v>Assumed Rate Purchased Steam</v>
      </c>
      <c r="D77" s="1114">
        <f>Rate_Steam</f>
        <v>0.04</v>
      </c>
      <c r="E77" s="1117" t="str">
        <f>"/"&amp;'Building Info &amp; Assumptions'!C349</f>
        <v>/lbs District Steam</v>
      </c>
      <c r="F77" s="1117"/>
      <c r="H77" s="346" t="str">
        <f>'Building Info &amp; Assumptions'!E169</f>
        <v>Off-Peak $/kWh</v>
      </c>
      <c r="I77" s="1116">
        <f>'Building Info &amp; Assumptions'!F169</f>
        <v>0.1</v>
      </c>
      <c r="J77" s="108"/>
      <c r="K77" s="108"/>
      <c r="L77" s="108"/>
      <c r="M77" s="108"/>
      <c r="P77" s="108"/>
      <c r="Q77" s="18"/>
      <c r="R77" s="18"/>
      <c r="S77" s="17"/>
      <c r="T77" s="17"/>
      <c r="U77" s="17"/>
      <c r="V77" s="17"/>
      <c r="W77" s="16"/>
      <c r="X77" s="252"/>
      <c r="Y77" s="15"/>
      <c r="Z77" s="15"/>
      <c r="AA77" s="15"/>
      <c r="AB77" s="15"/>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row>
    <row r="78" spans="1:89" s="104" customFormat="1" ht="15">
      <c r="A78" s="21"/>
      <c r="B78" s="21"/>
      <c r="C78" s="105" t="str">
        <f>"Assumed Rate "&amp;'Building Info &amp; Assumptions'!A350</f>
        <v>Assumed Rate Purchased Chilled Water</v>
      </c>
      <c r="D78" s="1114">
        <f>rate_util4</f>
        <v>0</v>
      </c>
      <c r="E78" s="1117" t="str">
        <f>"/"&amp;'Building Info &amp; Assumptions'!C350</f>
        <v>/MMBtu</v>
      </c>
      <c r="F78" s="1117"/>
      <c r="H78" s="226"/>
      <c r="O78" s="19"/>
      <c r="P78" s="19"/>
      <c r="Q78" s="19"/>
      <c r="R78" s="19"/>
      <c r="S78" s="19"/>
      <c r="T78" s="19"/>
      <c r="U78" s="19"/>
      <c r="V78" s="19"/>
      <c r="W78" s="20"/>
      <c r="X78" s="129"/>
      <c r="Y78" s="20"/>
      <c r="Z78" s="20"/>
      <c r="AA78" s="20"/>
      <c r="AB78" s="20"/>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row>
    <row r="79" spans="1:89" s="129" customFormat="1" ht="15">
      <c r="A79" s="136"/>
      <c r="B79" s="136"/>
      <c r="C79" s="105" t="str">
        <f>"Assumed Rate "&amp;'Building Info &amp; Assumptions'!A351</f>
        <v>Assumed Rate Purchased Hot Water</v>
      </c>
      <c r="D79" s="1114">
        <f>Rate_Util5</f>
        <v>0</v>
      </c>
      <c r="E79" s="1117" t="str">
        <f>"/"&amp;'Building Info &amp; Assumptions'!C351</f>
        <v>/MMBtu</v>
      </c>
      <c r="F79" s="1117"/>
      <c r="G79" s="136"/>
      <c r="H79" s="137"/>
      <c r="I79" s="137"/>
      <c r="J79" s="137"/>
      <c r="K79" s="137"/>
      <c r="L79" s="137"/>
      <c r="M79" s="137"/>
      <c r="N79" s="137"/>
      <c r="O79" s="137"/>
      <c r="P79" s="137"/>
      <c r="Q79" s="137"/>
      <c r="R79" s="137"/>
      <c r="S79" s="137"/>
      <c r="T79" s="137"/>
      <c r="U79" s="137"/>
      <c r="V79" s="137"/>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row>
    <row r="80" spans="1:89" s="129" customFormat="1" ht="15">
      <c r="A80" s="136"/>
      <c r="B80" s="136"/>
      <c r="C80" s="105" t="str">
        <f>"Assumed Rate "&amp;'Building Info &amp; Assumptions'!A352</f>
        <v>Assumed Rate Fuel Oil</v>
      </c>
      <c r="D80" s="1114">
        <f>Rate_util6</f>
        <v>0</v>
      </c>
      <c r="E80" s="1117" t="str">
        <f>"/"&amp;'Building Info &amp; Assumptions'!C352</f>
        <v>/gallons (Fuel Oil #2)</v>
      </c>
      <c r="F80" s="1117"/>
      <c r="G80" s="136"/>
      <c r="H80" s="137"/>
      <c r="I80" s="137"/>
      <c r="J80" s="137"/>
      <c r="K80" s="137"/>
      <c r="L80" s="137"/>
      <c r="M80" s="137"/>
      <c r="N80" s="137"/>
      <c r="O80" s="137"/>
      <c r="P80" s="137"/>
      <c r="Q80" s="137"/>
      <c r="R80" s="137"/>
      <c r="S80" s="137"/>
      <c r="T80" s="137"/>
      <c r="U80" s="137"/>
      <c r="V80" s="137"/>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row>
    <row r="81" spans="1:79" s="129" customFormat="1" ht="15">
      <c r="A81" s="136"/>
      <c r="B81" s="136"/>
      <c r="C81" s="105" t="str">
        <f>"Assumed Rate "&amp;'Building Info &amp; Assumptions'!A353</f>
        <v>Assumed Rate Propane</v>
      </c>
      <c r="D81" s="1114">
        <f>rate_Util7</f>
        <v>0</v>
      </c>
      <c r="E81" s="1117" t="str">
        <f>"/"&amp;'Building Info &amp; Assumptions'!C353</f>
        <v>/gallons (Propane)</v>
      </c>
      <c r="F81" s="1117"/>
      <c r="G81" s="136"/>
      <c r="H81" s="137"/>
      <c r="I81" s="137"/>
      <c r="J81" s="137"/>
      <c r="K81" s="137"/>
      <c r="L81" s="137"/>
      <c r="M81" s="137"/>
      <c r="N81" s="137"/>
      <c r="O81" s="137"/>
      <c r="P81" s="137"/>
      <c r="Q81" s="137"/>
      <c r="R81" s="137"/>
      <c r="S81" s="137"/>
      <c r="T81" s="137"/>
      <c r="U81" s="137"/>
      <c r="V81" s="137"/>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row>
    <row r="82" spans="1:79" s="129" customFormat="1" ht="15">
      <c r="C82" s="105" t="str">
        <f>"Assumed Rate "&amp;'Building Info &amp; Assumptions'!A354</f>
        <v>Assumed Rate Coal</v>
      </c>
      <c r="D82" s="1114">
        <f>rate_Util8</f>
        <v>0</v>
      </c>
      <c r="E82" s="1117" t="str">
        <f>"/"&amp;'Building Info &amp; Assumptions'!C354</f>
        <v>/short ton (coal)</v>
      </c>
      <c r="F82" s="1117"/>
      <c r="G82" s="136"/>
      <c r="H82" s="137"/>
      <c r="I82" s="137"/>
      <c r="J82" s="137"/>
      <c r="K82" s="137"/>
      <c r="L82" s="137"/>
      <c r="M82" s="137"/>
      <c r="N82" s="137"/>
      <c r="O82" s="137"/>
      <c r="P82" s="137"/>
      <c r="Q82" s="137"/>
      <c r="R82" s="137"/>
      <c r="S82" s="137"/>
      <c r="T82" s="137"/>
      <c r="U82" s="137"/>
      <c r="V82" s="137"/>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row>
    <row r="83" spans="1:79" s="129" customFormat="1" ht="15">
      <c r="A83" s="136"/>
      <c r="B83" s="136"/>
      <c r="C83" s="136"/>
      <c r="D83" s="587"/>
      <c r="E83" s="136"/>
      <c r="F83" s="136"/>
      <c r="G83" s="136"/>
      <c r="H83" s="137"/>
      <c r="I83" s="137"/>
      <c r="J83" s="137"/>
      <c r="K83" s="137"/>
      <c r="L83" s="137"/>
      <c r="M83" s="137"/>
      <c r="N83" s="137"/>
      <c r="O83" s="137"/>
      <c r="P83" s="137"/>
      <c r="Q83" s="137"/>
      <c r="R83" s="137"/>
      <c r="S83" s="137"/>
      <c r="T83" s="137"/>
      <c r="U83" s="137"/>
      <c r="V83" s="137"/>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row>
    <row r="84" spans="1:79" s="129" customFormat="1" ht="15">
      <c r="A84" s="136"/>
      <c r="B84" s="136"/>
      <c r="C84" s="136"/>
      <c r="D84" s="136"/>
      <c r="E84" s="136"/>
      <c r="F84" s="136"/>
      <c r="G84" s="136"/>
      <c r="H84" s="137"/>
      <c r="I84" s="137"/>
      <c r="J84" s="137"/>
      <c r="K84" s="137"/>
      <c r="L84" s="137"/>
      <c r="M84" s="137"/>
      <c r="N84" s="137"/>
      <c r="O84" s="137"/>
      <c r="P84" s="137"/>
      <c r="Q84" s="137"/>
      <c r="R84" s="137"/>
      <c r="S84" s="137"/>
      <c r="T84" s="137"/>
      <c r="U84" s="137"/>
      <c r="V84" s="137"/>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row>
    <row r="85" spans="1:79" s="129" customFormat="1" ht="15">
      <c r="A85" s="136"/>
      <c r="B85" s="136"/>
      <c r="C85" s="136"/>
      <c r="D85" s="136"/>
      <c r="E85" s="136"/>
      <c r="F85" s="136"/>
      <c r="G85" s="136"/>
      <c r="H85" s="137"/>
      <c r="I85" s="137"/>
      <c r="J85" s="137"/>
      <c r="K85" s="137"/>
      <c r="L85" s="137"/>
      <c r="M85" s="137"/>
      <c r="N85" s="137"/>
      <c r="O85" s="137"/>
      <c r="P85" s="137"/>
      <c r="Q85" s="137"/>
      <c r="R85" s="137"/>
      <c r="S85" s="137"/>
      <c r="T85" s="137"/>
      <c r="U85" s="137"/>
      <c r="V85" s="137"/>
      <c r="W85" s="138"/>
      <c r="X85" s="138"/>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row>
    <row r="86" spans="1:79" s="129" customFormat="1" ht="12" customHeight="1">
      <c r="A86" s="136"/>
      <c r="B86" s="136"/>
      <c r="C86" s="136"/>
      <c r="D86" s="136"/>
      <c r="E86" s="136"/>
      <c r="F86" s="136"/>
      <c r="G86" s="136"/>
      <c r="H86" s="137"/>
      <c r="I86" s="137"/>
      <c r="J86" s="137"/>
      <c r="K86" s="137"/>
      <c r="L86" s="137"/>
      <c r="M86" s="137"/>
      <c r="N86" s="137"/>
      <c r="O86" s="137"/>
      <c r="P86" s="137"/>
      <c r="Q86" s="137"/>
      <c r="R86" s="137"/>
      <c r="S86" s="137"/>
      <c r="T86" s="137"/>
      <c r="U86" s="137"/>
      <c r="V86" s="137"/>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row>
    <row r="87" spans="1:79" s="129" customFormat="1" ht="15">
      <c r="A87" s="136"/>
      <c r="B87" s="136"/>
      <c r="C87" s="136"/>
      <c r="D87" s="136"/>
      <c r="E87" s="136"/>
      <c r="F87" s="136"/>
      <c r="G87" s="136"/>
      <c r="H87" s="137"/>
      <c r="I87" s="137"/>
      <c r="J87" s="137"/>
      <c r="K87" s="137"/>
      <c r="L87" s="137"/>
      <c r="M87" s="137"/>
      <c r="N87" s="137"/>
      <c r="O87" s="137"/>
      <c r="P87" s="137"/>
      <c r="Q87" s="137"/>
      <c r="R87" s="137"/>
      <c r="S87" s="137"/>
      <c r="T87" s="137"/>
      <c r="U87" s="137"/>
      <c r="V87" s="137"/>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row>
    <row r="88" spans="1:79" s="129" customFormat="1" ht="15">
      <c r="A88" s="136"/>
      <c r="B88" s="136"/>
      <c r="C88" s="136"/>
      <c r="D88" s="136"/>
      <c r="E88" s="136"/>
      <c r="F88" s="136"/>
      <c r="G88" s="136"/>
      <c r="H88" s="137"/>
      <c r="I88" s="137"/>
      <c r="J88" s="137"/>
      <c r="K88" s="137"/>
      <c r="L88" s="137"/>
      <c r="M88" s="137"/>
      <c r="N88" s="137"/>
      <c r="O88" s="137"/>
      <c r="P88" s="137"/>
      <c r="Q88" s="137"/>
      <c r="R88" s="137"/>
      <c r="S88" s="137"/>
      <c r="T88" s="137"/>
      <c r="U88" s="137"/>
      <c r="V88" s="137"/>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row>
    <row r="89" spans="1:79" s="129" customFormat="1" ht="15">
      <c r="A89" s="136"/>
      <c r="B89" s="136"/>
      <c r="C89" s="136"/>
      <c r="D89" s="136"/>
      <c r="E89" s="136"/>
      <c r="F89" s="136"/>
      <c r="G89" s="136"/>
      <c r="H89" s="137"/>
      <c r="I89" s="137"/>
      <c r="J89" s="137"/>
      <c r="K89" s="137"/>
      <c r="L89" s="137"/>
      <c r="M89" s="137"/>
      <c r="N89" s="137"/>
      <c r="O89" s="137"/>
      <c r="P89" s="137"/>
      <c r="Q89" s="137"/>
      <c r="R89" s="137"/>
      <c r="S89" s="137"/>
      <c r="T89" s="137"/>
      <c r="U89" s="137"/>
      <c r="V89" s="137"/>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row>
    <row r="90" spans="1:79" s="129" customFormat="1" ht="15">
      <c r="A90" s="137"/>
      <c r="B90" s="137"/>
      <c r="C90" s="137"/>
      <c r="D90" s="137"/>
      <c r="E90" s="137"/>
      <c r="F90" s="137"/>
      <c r="G90" s="137"/>
      <c r="H90" s="137"/>
      <c r="I90" s="137"/>
      <c r="J90" s="137"/>
      <c r="K90" s="137"/>
      <c r="L90" s="137"/>
      <c r="M90" s="137"/>
      <c r="N90" s="137"/>
      <c r="O90" s="137"/>
      <c r="P90" s="137"/>
      <c r="Q90" s="137"/>
      <c r="R90" s="137"/>
      <c r="S90" s="137"/>
      <c r="T90" s="137"/>
      <c r="U90" s="137"/>
      <c r="V90" s="137"/>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row>
    <row r="91" spans="1:79" s="129" customFormat="1" ht="15">
      <c r="A91" s="114"/>
      <c r="B91" s="114"/>
      <c r="C91" s="122"/>
      <c r="D91" s="122"/>
      <c r="E91" s="122"/>
      <c r="F91" s="122"/>
      <c r="G91" s="135"/>
      <c r="H91" s="131"/>
      <c r="I91" s="114"/>
      <c r="J91" s="114"/>
      <c r="K91" s="114"/>
      <c r="L91" s="114"/>
      <c r="M91" s="114"/>
      <c r="N91" s="114"/>
      <c r="O91" s="114"/>
      <c r="P91" s="114"/>
      <c r="Q91" s="114"/>
      <c r="R91" s="114"/>
      <c r="S91" s="114"/>
      <c r="T91" s="114"/>
      <c r="U91" s="114"/>
      <c r="V91" s="114"/>
      <c r="W91" s="114"/>
      <c r="X91" s="114"/>
      <c r="Y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row>
    <row r="92" spans="1:79" s="129" customFormat="1" ht="1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row>
    <row r="93" spans="1:79" s="129" customFormat="1" ht="15">
      <c r="A93" s="114"/>
      <c r="B93" s="114"/>
      <c r="C93" s="122"/>
      <c r="D93" s="122"/>
      <c r="E93" s="122"/>
      <c r="F93" s="114"/>
      <c r="G93" s="114"/>
      <c r="H93" s="121"/>
      <c r="I93" s="121"/>
      <c r="J93" s="121"/>
      <c r="K93" s="121"/>
      <c r="L93" s="121"/>
      <c r="M93" s="135"/>
      <c r="N93" s="135"/>
      <c r="O93" s="135"/>
      <c r="P93" s="135"/>
      <c r="Q93" s="121"/>
      <c r="R93" s="121"/>
      <c r="S93" s="115"/>
      <c r="T93" s="114"/>
      <c r="U93" s="114"/>
      <c r="V93" s="114"/>
      <c r="W93" s="114"/>
      <c r="X93" s="114"/>
      <c r="Y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row>
    <row r="94" spans="1:79" s="129" customFormat="1" ht="15">
      <c r="A94" s="99"/>
      <c r="B94" s="99"/>
      <c r="C94" s="139"/>
      <c r="D94" s="139"/>
      <c r="E94" s="139"/>
      <c r="F94" s="114"/>
      <c r="G94" s="114"/>
      <c r="H94" s="117"/>
      <c r="I94" s="140"/>
      <c r="J94" s="140"/>
      <c r="K94" s="140"/>
      <c r="L94" s="140"/>
      <c r="M94" s="130"/>
      <c r="N94" s="130"/>
      <c r="O94" s="130"/>
      <c r="P94" s="130"/>
      <c r="Q94" s="114"/>
      <c r="R94" s="114"/>
      <c r="S94" s="131"/>
      <c r="T94" s="132"/>
      <c r="U94" s="133"/>
      <c r="V94" s="133"/>
      <c r="W94" s="114"/>
      <c r="X94" s="114"/>
      <c r="Y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row>
    <row r="95" spans="1:79" s="129" customFormat="1" ht="15">
      <c r="A95" s="99"/>
      <c r="B95" s="99"/>
      <c r="C95" s="139"/>
      <c r="D95" s="139"/>
      <c r="E95" s="139"/>
      <c r="F95" s="114"/>
      <c r="G95" s="114"/>
      <c r="H95" s="117"/>
      <c r="I95" s="140"/>
      <c r="J95" s="140"/>
      <c r="K95" s="140"/>
      <c r="L95" s="140"/>
      <c r="M95" s="130"/>
      <c r="N95" s="130"/>
      <c r="O95" s="130"/>
      <c r="P95" s="130"/>
      <c r="Q95" s="114"/>
      <c r="R95" s="114"/>
      <c r="S95" s="114"/>
      <c r="T95" s="134"/>
      <c r="U95" s="133"/>
      <c r="V95" s="133"/>
      <c r="W95" s="114"/>
      <c r="X95" s="114"/>
      <c r="Y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row>
    <row r="96" spans="1:79" s="129" customFormat="1" ht="15">
      <c r="A96" s="99"/>
      <c r="B96" s="99"/>
      <c r="C96" s="139"/>
      <c r="D96" s="139"/>
      <c r="E96" s="139"/>
      <c r="F96" s="114"/>
      <c r="G96" s="114"/>
      <c r="H96" s="117"/>
      <c r="I96" s="140"/>
      <c r="J96" s="140"/>
      <c r="K96" s="140"/>
      <c r="L96" s="140"/>
      <c r="M96" s="130"/>
      <c r="N96" s="130"/>
      <c r="O96" s="130"/>
      <c r="P96" s="130"/>
      <c r="Q96" s="114"/>
      <c r="R96" s="114"/>
      <c r="S96" s="114"/>
      <c r="T96" s="134"/>
      <c r="U96" s="133"/>
      <c r="V96" s="133"/>
      <c r="W96" s="114"/>
      <c r="X96" s="114"/>
      <c r="Y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row>
    <row r="97" spans="1:79" s="129" customFormat="1" ht="15">
      <c r="A97" s="114"/>
      <c r="B97" s="114"/>
      <c r="C97" s="114"/>
      <c r="D97" s="114"/>
      <c r="E97" s="114"/>
      <c r="F97" s="114"/>
      <c r="G97" s="114"/>
      <c r="H97" s="115"/>
      <c r="I97" s="114"/>
      <c r="J97" s="114"/>
      <c r="K97" s="114"/>
      <c r="L97" s="114"/>
      <c r="M97" s="130"/>
      <c r="N97" s="130"/>
      <c r="O97" s="130"/>
      <c r="P97" s="130"/>
      <c r="Q97" s="114"/>
      <c r="R97" s="114"/>
      <c r="S97" s="114"/>
      <c r="T97" s="114"/>
      <c r="U97" s="114"/>
      <c r="V97" s="114"/>
      <c r="W97" s="114"/>
      <c r="X97" s="114"/>
      <c r="Y97" s="114"/>
      <c r="Z97" s="137"/>
      <c r="AA97" s="137"/>
      <c r="AB97" s="137"/>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row>
    <row r="98" spans="1:79" s="129" customFormat="1" ht="15">
      <c r="A98" s="114"/>
      <c r="B98" s="114"/>
      <c r="C98" s="114"/>
      <c r="D98" s="114"/>
      <c r="E98" s="114"/>
      <c r="F98" s="114"/>
      <c r="G98" s="114"/>
      <c r="H98" s="121"/>
      <c r="I98" s="121"/>
      <c r="J98" s="121"/>
      <c r="K98" s="121"/>
      <c r="L98" s="121"/>
      <c r="M98" s="116"/>
      <c r="N98" s="116"/>
      <c r="O98" s="116"/>
      <c r="P98" s="116"/>
      <c r="Q98" s="121"/>
      <c r="R98" s="121"/>
      <c r="S98" s="114"/>
      <c r="T98" s="114"/>
      <c r="U98" s="114"/>
      <c r="V98" s="114"/>
      <c r="W98" s="114"/>
      <c r="X98" s="114"/>
      <c r="Y98" s="114"/>
      <c r="Z98" s="137"/>
      <c r="AA98" s="137"/>
      <c r="AB98" s="137"/>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row>
    <row r="99" spans="1:79" s="129" customFormat="1" ht="15">
      <c r="A99" s="114"/>
      <c r="B99" s="114"/>
      <c r="C99" s="122"/>
      <c r="D99" s="122"/>
      <c r="E99" s="122"/>
      <c r="F99" s="114"/>
      <c r="G99" s="114"/>
      <c r="H99" s="135"/>
      <c r="I99" s="141"/>
      <c r="J99" s="141"/>
      <c r="K99" s="141"/>
      <c r="L99" s="141"/>
      <c r="M99" s="114"/>
      <c r="N99" s="114"/>
      <c r="O99" s="114"/>
      <c r="P99" s="114"/>
      <c r="Q99" s="114"/>
      <c r="R99" s="114"/>
      <c r="S99" s="114"/>
      <c r="T99" s="114"/>
      <c r="U99" s="114"/>
      <c r="V99" s="114"/>
      <c r="W99" s="896"/>
      <c r="X99" s="896"/>
      <c r="Y99" s="904"/>
      <c r="Z99" s="137"/>
      <c r="AA99" s="137"/>
      <c r="AB99" s="137"/>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row>
    <row r="100" spans="1:79" s="129" customFormat="1" ht="1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37"/>
      <c r="AA100" s="137"/>
      <c r="AB100" s="137"/>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row>
    <row r="101" spans="1:79" s="129" customFormat="1" ht="15">
      <c r="A101" s="114"/>
      <c r="B101" s="114"/>
      <c r="C101" s="114"/>
      <c r="D101" s="114"/>
      <c r="E101" s="114"/>
      <c r="F101" s="114"/>
      <c r="G101" s="114"/>
      <c r="H101" s="122"/>
      <c r="I101" s="142"/>
      <c r="J101" s="142"/>
      <c r="K101" s="142"/>
      <c r="L101" s="142"/>
      <c r="M101" s="142"/>
      <c r="N101" s="142"/>
      <c r="O101" s="142"/>
      <c r="P101" s="142"/>
      <c r="Q101" s="142"/>
      <c r="R101" s="142"/>
      <c r="S101" s="142"/>
      <c r="T101" s="142"/>
      <c r="U101" s="142"/>
      <c r="V101" s="142"/>
      <c r="W101" s="142"/>
      <c r="X101" s="142"/>
      <c r="Y101" s="114"/>
      <c r="Z101" s="137"/>
      <c r="AA101" s="137"/>
      <c r="AB101" s="137"/>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row>
    <row r="102" spans="1:79" s="129" customFormat="1" ht="15">
      <c r="A102" s="114"/>
      <c r="B102" s="114"/>
      <c r="C102" s="122"/>
      <c r="D102" s="122"/>
      <c r="E102" s="122"/>
      <c r="F102" s="114"/>
      <c r="G102" s="114"/>
      <c r="H102" s="143"/>
      <c r="I102" s="143"/>
      <c r="J102" s="143"/>
      <c r="K102" s="143"/>
      <c r="L102" s="143"/>
      <c r="M102" s="143"/>
      <c r="N102" s="143"/>
      <c r="O102" s="143"/>
      <c r="P102" s="143"/>
      <c r="Q102" s="143"/>
      <c r="R102" s="143"/>
      <c r="S102" s="143"/>
      <c r="T102" s="143"/>
      <c r="U102" s="143"/>
      <c r="V102" s="143"/>
      <c r="W102" s="143"/>
      <c r="X102" s="143"/>
      <c r="Y102" s="114"/>
      <c r="Z102" s="137"/>
      <c r="AA102" s="137"/>
      <c r="AB102" s="137"/>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row>
    <row r="103" spans="1:79" s="129" customFormat="1" ht="15">
      <c r="A103" s="114"/>
      <c r="B103" s="114"/>
      <c r="C103" s="144"/>
      <c r="D103" s="144"/>
      <c r="E103" s="144"/>
      <c r="F103" s="114"/>
      <c r="G103" s="114"/>
      <c r="H103" s="145"/>
      <c r="I103" s="114"/>
      <c r="J103" s="114"/>
      <c r="K103" s="114"/>
      <c r="L103" s="114"/>
      <c r="M103" s="114"/>
      <c r="N103" s="114"/>
      <c r="O103" s="114"/>
      <c r="P103" s="114"/>
      <c r="Q103" s="114"/>
      <c r="R103" s="114"/>
      <c r="S103" s="114"/>
      <c r="T103" s="114"/>
      <c r="U103" s="114"/>
      <c r="V103" s="114"/>
      <c r="W103" s="114"/>
      <c r="X103" s="114"/>
      <c r="Y103" s="114"/>
      <c r="Z103" s="137"/>
      <c r="AA103" s="137"/>
      <c r="AB103" s="137"/>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row>
    <row r="104" spans="1:79" s="129" customFormat="1" ht="1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37"/>
      <c r="AA104" s="137"/>
      <c r="AB104" s="137"/>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row>
    <row r="105" spans="1:79" s="129" customFormat="1" ht="15">
      <c r="A105" s="114"/>
      <c r="B105" s="114"/>
      <c r="C105" s="114"/>
      <c r="D105" s="114"/>
      <c r="E105" s="114"/>
      <c r="F105" s="114"/>
      <c r="G105" s="114"/>
      <c r="H105" s="122"/>
      <c r="I105" s="142"/>
      <c r="J105" s="142"/>
      <c r="K105" s="142"/>
      <c r="L105" s="142"/>
      <c r="M105" s="142"/>
      <c r="N105" s="142"/>
      <c r="O105" s="142"/>
      <c r="P105" s="142"/>
      <c r="Q105" s="142"/>
      <c r="R105" s="142"/>
      <c r="S105" s="142"/>
      <c r="T105" s="142"/>
      <c r="U105" s="142"/>
      <c r="V105" s="142"/>
      <c r="W105" s="142"/>
      <c r="X105" s="142"/>
      <c r="Y105" s="142"/>
      <c r="Z105" s="137"/>
      <c r="AA105" s="137"/>
      <c r="AB105" s="137"/>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row>
    <row r="106" spans="1:79" s="129" customFormat="1" ht="15">
      <c r="A106" s="114"/>
      <c r="B106" s="114"/>
      <c r="C106" s="122"/>
      <c r="D106" s="122"/>
      <c r="E106" s="122"/>
      <c r="F106" s="114"/>
      <c r="G106" s="135"/>
      <c r="H106" s="146"/>
      <c r="I106" s="143"/>
      <c r="J106" s="143"/>
      <c r="K106" s="143"/>
      <c r="L106" s="143"/>
      <c r="M106" s="143"/>
      <c r="N106" s="143"/>
      <c r="O106" s="143"/>
      <c r="P106" s="143"/>
      <c r="Q106" s="143"/>
      <c r="R106" s="143"/>
      <c r="S106" s="143"/>
      <c r="T106" s="143"/>
      <c r="U106" s="143"/>
      <c r="V106" s="143"/>
      <c r="W106" s="143"/>
      <c r="X106" s="143"/>
      <c r="Y106" s="143"/>
      <c r="Z106" s="137"/>
      <c r="AA106" s="137"/>
      <c r="AB106" s="137"/>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row>
    <row r="107" spans="1:79" s="129" customFormat="1" ht="1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37"/>
      <c r="AA107" s="137"/>
      <c r="AB107" s="137"/>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row>
    <row r="108" spans="1:79" s="129" customFormat="1" ht="1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37"/>
      <c r="AA108" s="137"/>
      <c r="AB108" s="137"/>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row>
    <row r="109" spans="1:79" s="129" customFormat="1" ht="15">
      <c r="A109" s="114"/>
      <c r="B109" s="114"/>
      <c r="C109" s="122"/>
      <c r="D109" s="122"/>
      <c r="E109" s="122"/>
      <c r="F109" s="114"/>
      <c r="G109" s="114"/>
      <c r="H109" s="143"/>
      <c r="I109" s="114"/>
      <c r="J109" s="114"/>
      <c r="K109" s="114"/>
      <c r="L109" s="114"/>
      <c r="M109" s="114"/>
      <c r="N109" s="114"/>
      <c r="O109" s="114"/>
      <c r="P109" s="114"/>
      <c r="Q109" s="114"/>
      <c r="R109" s="114"/>
      <c r="S109" s="114"/>
      <c r="T109" s="114"/>
      <c r="U109" s="114"/>
      <c r="V109" s="114"/>
      <c r="W109" s="114"/>
      <c r="X109" s="114"/>
      <c r="Y109" s="114"/>
      <c r="Z109" s="137"/>
      <c r="AA109" s="137"/>
      <c r="AB109" s="137"/>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row>
    <row r="110" spans="1:79" s="129" customFormat="1" ht="15">
      <c r="A110" s="114"/>
      <c r="B110" s="114"/>
      <c r="C110" s="148"/>
      <c r="D110" s="148"/>
      <c r="E110" s="148"/>
      <c r="F110" s="114"/>
      <c r="G110" s="114"/>
      <c r="H110" s="114"/>
      <c r="I110" s="114"/>
      <c r="J110" s="114"/>
      <c r="K110" s="114"/>
      <c r="L110" s="114"/>
      <c r="M110" s="114"/>
      <c r="N110" s="114"/>
      <c r="O110" s="114"/>
      <c r="P110" s="114"/>
      <c r="Q110" s="114"/>
      <c r="R110" s="114"/>
      <c r="S110" s="114"/>
      <c r="T110" s="114"/>
      <c r="U110" s="114"/>
      <c r="V110" s="114"/>
      <c r="W110" s="114"/>
      <c r="X110" s="114"/>
      <c r="Y110" s="114"/>
      <c r="Z110" s="137"/>
      <c r="AA110" s="137"/>
      <c r="AB110" s="137"/>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row>
    <row r="111" spans="1:79" s="129" customFormat="1" ht="15">
      <c r="A111" s="114"/>
      <c r="B111" s="114"/>
      <c r="C111" s="114"/>
      <c r="D111" s="114"/>
      <c r="E111" s="114"/>
      <c r="F111" s="114"/>
      <c r="G111" s="114"/>
      <c r="H111" s="114"/>
      <c r="I111" s="114"/>
      <c r="J111" s="114"/>
      <c r="K111" s="114"/>
      <c r="L111" s="114"/>
      <c r="M111" s="114"/>
      <c r="N111" s="114"/>
      <c r="O111" s="114"/>
      <c r="P111" s="114"/>
      <c r="Q111" s="115"/>
      <c r="R111" s="115"/>
      <c r="S111" s="114"/>
      <c r="T111" s="114"/>
      <c r="U111" s="114"/>
      <c r="V111" s="114"/>
      <c r="W111" s="896"/>
      <c r="X111" s="896"/>
      <c r="Y111" s="896"/>
      <c r="Z111" s="137"/>
      <c r="AA111" s="137"/>
      <c r="AB111" s="137"/>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row>
    <row r="112" spans="1:79" s="129" customFormat="1" ht="1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37"/>
      <c r="AA112" s="137"/>
      <c r="AB112" s="137"/>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row>
    <row r="113" spans="1:79" s="129" customFormat="1" ht="1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37"/>
      <c r="AA113" s="137"/>
      <c r="AB113" s="137"/>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row>
    <row r="114" spans="1:79" s="129" customFormat="1" ht="1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37"/>
      <c r="AA114" s="137"/>
      <c r="AB114" s="137"/>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row>
    <row r="115" spans="1:79" s="129" customFormat="1" ht="18">
      <c r="A115" s="149"/>
      <c r="B115" s="149"/>
      <c r="C115" s="149"/>
      <c r="D115" s="149"/>
      <c r="E115" s="149"/>
      <c r="F115" s="150"/>
      <c r="G115" s="151"/>
      <c r="H115" s="799"/>
      <c r="I115" s="114"/>
      <c r="J115" s="114"/>
      <c r="K115" s="114"/>
      <c r="L115" s="114"/>
      <c r="M115" s="114"/>
      <c r="N115" s="114"/>
      <c r="O115" s="114"/>
      <c r="P115" s="114"/>
      <c r="Q115" s="114"/>
      <c r="R115" s="114"/>
      <c r="S115" s="114"/>
      <c r="T115" s="114"/>
      <c r="U115" s="114"/>
      <c r="V115" s="114"/>
      <c r="W115" s="114"/>
      <c r="X115" s="114"/>
      <c r="Y115" s="114"/>
      <c r="Z115" s="137"/>
      <c r="AA115" s="137"/>
      <c r="AB115" s="137"/>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row>
    <row r="116" spans="1:79" s="129" customFormat="1" ht="18">
      <c r="A116" s="149"/>
      <c r="B116" s="149"/>
      <c r="C116" s="149"/>
      <c r="D116" s="149"/>
      <c r="E116" s="149"/>
      <c r="F116" s="150"/>
      <c r="G116" s="799"/>
      <c r="H116" s="799"/>
      <c r="I116" s="114"/>
      <c r="J116" s="114"/>
      <c r="K116" s="114"/>
      <c r="L116" s="114"/>
      <c r="M116" s="114"/>
      <c r="N116" s="114"/>
      <c r="O116" s="114"/>
      <c r="P116" s="114"/>
      <c r="Q116" s="114"/>
      <c r="R116" s="114"/>
      <c r="S116" s="114"/>
      <c r="T116" s="114"/>
      <c r="U116" s="114"/>
      <c r="V116" s="114"/>
      <c r="W116" s="114"/>
      <c r="X116" s="114"/>
      <c r="Y116" s="114"/>
      <c r="Z116" s="137"/>
      <c r="AA116" s="137"/>
      <c r="AB116" s="137"/>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row>
    <row r="117" spans="1:79" s="129" customFormat="1" ht="15">
      <c r="A117" s="109"/>
      <c r="B117" s="109"/>
      <c r="C117" s="109"/>
      <c r="D117" s="109"/>
      <c r="E117" s="109"/>
      <c r="F117" s="150"/>
      <c r="G117" s="799"/>
      <c r="H117" s="799"/>
      <c r="I117" s="114"/>
      <c r="J117" s="114"/>
      <c r="K117" s="114"/>
      <c r="L117" s="114"/>
      <c r="M117" s="114"/>
      <c r="N117" s="114"/>
      <c r="O117" s="114"/>
      <c r="P117" s="114"/>
      <c r="Q117" s="114"/>
      <c r="R117" s="114"/>
      <c r="S117" s="114"/>
      <c r="T117" s="114"/>
      <c r="U117" s="114"/>
      <c r="V117" s="114"/>
      <c r="W117" s="114"/>
      <c r="X117" s="114"/>
      <c r="Y117" s="114"/>
      <c r="Z117" s="137"/>
      <c r="AA117" s="137"/>
      <c r="AB117" s="137"/>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row>
    <row r="118" spans="1:79" s="129" customFormat="1" ht="15">
      <c r="A118" s="109"/>
      <c r="B118" s="109"/>
      <c r="C118" s="109"/>
      <c r="D118" s="109"/>
      <c r="E118" s="109"/>
      <c r="F118" s="150"/>
      <c r="G118" s="799"/>
      <c r="H118" s="799"/>
      <c r="I118" s="114"/>
      <c r="J118" s="114"/>
      <c r="K118" s="114"/>
      <c r="L118" s="114"/>
      <c r="M118" s="114"/>
      <c r="N118" s="114"/>
      <c r="O118" s="114"/>
      <c r="P118" s="114"/>
      <c r="Q118" s="114"/>
      <c r="R118" s="114"/>
      <c r="S118" s="115"/>
      <c r="T118" s="114"/>
      <c r="U118" s="114"/>
      <c r="V118" s="114"/>
      <c r="W118" s="114"/>
      <c r="X118" s="114"/>
      <c r="Y118" s="137"/>
      <c r="Z118" s="137"/>
      <c r="AA118" s="137"/>
      <c r="AB118" s="137"/>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row>
    <row r="119" spans="1:79" s="129" customFormat="1" ht="15">
      <c r="A119" s="109"/>
      <c r="B119" s="109"/>
      <c r="C119" s="109"/>
      <c r="D119" s="109"/>
      <c r="E119" s="109"/>
      <c r="F119" s="150"/>
      <c r="G119" s="799"/>
      <c r="H119" s="799"/>
      <c r="I119" s="114"/>
      <c r="J119" s="114"/>
      <c r="K119" s="114"/>
      <c r="L119" s="114"/>
      <c r="M119" s="114"/>
      <c r="N119" s="114"/>
      <c r="O119" s="114"/>
      <c r="P119" s="114"/>
      <c r="Q119" s="114"/>
      <c r="R119" s="114"/>
      <c r="S119" s="114"/>
      <c r="T119" s="114"/>
      <c r="U119" s="114"/>
      <c r="V119" s="114"/>
      <c r="W119" s="114"/>
      <c r="X119" s="114"/>
      <c r="Y119" s="137"/>
      <c r="Z119" s="137"/>
      <c r="AA119" s="137"/>
      <c r="AB119" s="137"/>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row>
    <row r="120" spans="1:79" s="129" customFormat="1" ht="15">
      <c r="A120" s="114"/>
      <c r="B120" s="114"/>
      <c r="C120" s="114"/>
      <c r="D120" s="114"/>
      <c r="E120" s="114"/>
      <c r="F120" s="798"/>
      <c r="G120" s="152"/>
      <c r="H120" s="143"/>
      <c r="I120" s="799"/>
      <c r="J120" s="799"/>
      <c r="K120" s="799"/>
      <c r="L120" s="799"/>
      <c r="M120" s="799"/>
      <c r="N120" s="799"/>
      <c r="O120" s="799"/>
      <c r="P120" s="799"/>
      <c r="Q120" s="114"/>
      <c r="R120" s="114"/>
      <c r="S120" s="152"/>
      <c r="T120" s="143"/>
      <c r="U120" s="114"/>
      <c r="V120" s="114"/>
      <c r="W120" s="114"/>
      <c r="X120" s="114"/>
      <c r="Y120" s="137"/>
      <c r="Z120" s="137"/>
      <c r="AA120" s="137"/>
      <c r="AB120" s="137"/>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row>
    <row r="121" spans="1:79" s="129" customFormat="1" ht="15">
      <c r="A121" s="114"/>
      <c r="B121" s="114"/>
      <c r="C121" s="114"/>
      <c r="D121" s="114"/>
      <c r="E121" s="114"/>
      <c r="F121" s="153"/>
      <c r="G121" s="99"/>
      <c r="H121" s="150"/>
      <c r="I121" s="799"/>
      <c r="J121" s="799"/>
      <c r="K121" s="799"/>
      <c r="L121" s="799"/>
      <c r="M121" s="799"/>
      <c r="N121" s="799"/>
      <c r="O121" s="799"/>
      <c r="P121" s="799"/>
      <c r="Q121" s="114"/>
      <c r="R121" s="114"/>
      <c r="S121" s="114"/>
      <c r="T121" s="114"/>
      <c r="U121" s="114"/>
      <c r="V121" s="114"/>
      <c r="W121" s="114"/>
      <c r="X121" s="114"/>
      <c r="Y121" s="137"/>
      <c r="Z121" s="137"/>
      <c r="AA121" s="137"/>
      <c r="AB121" s="137"/>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row>
    <row r="122" spans="1:79" s="129" customFormat="1" ht="15">
      <c r="A122" s="114"/>
      <c r="B122" s="114"/>
      <c r="C122" s="114"/>
      <c r="D122" s="114"/>
      <c r="E122" s="114"/>
      <c r="F122" s="798"/>
      <c r="G122" s="99"/>
      <c r="H122" s="122"/>
      <c r="I122" s="142"/>
      <c r="J122" s="142"/>
      <c r="K122" s="142"/>
      <c r="L122" s="142"/>
      <c r="M122" s="142"/>
      <c r="N122" s="142"/>
      <c r="O122" s="142"/>
      <c r="P122" s="142"/>
      <c r="Q122" s="142"/>
      <c r="R122" s="142"/>
      <c r="S122" s="142"/>
      <c r="T122" s="142"/>
      <c r="U122" s="142"/>
      <c r="V122" s="142"/>
      <c r="W122" s="142"/>
      <c r="X122" s="142"/>
      <c r="Y122" s="137"/>
      <c r="Z122" s="137"/>
      <c r="AA122" s="137"/>
      <c r="AB122" s="137"/>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row>
    <row r="123" spans="1:79" s="129" customFormat="1" ht="15">
      <c r="A123" s="114"/>
      <c r="B123" s="114"/>
      <c r="C123" s="114"/>
      <c r="D123" s="114"/>
      <c r="E123" s="114"/>
      <c r="F123" s="798"/>
      <c r="G123" s="152"/>
      <c r="H123" s="143"/>
      <c r="I123" s="143"/>
      <c r="J123" s="143"/>
      <c r="K123" s="143"/>
      <c r="L123" s="143"/>
      <c r="M123" s="143"/>
      <c r="N123" s="143"/>
      <c r="O123" s="143"/>
      <c r="P123" s="143"/>
      <c r="Q123" s="143"/>
      <c r="R123" s="143"/>
      <c r="S123" s="143"/>
      <c r="T123" s="143"/>
      <c r="U123" s="143"/>
      <c r="V123" s="143"/>
      <c r="W123" s="143"/>
      <c r="X123" s="143"/>
      <c r="Y123" s="137"/>
      <c r="Z123" s="137"/>
      <c r="AA123" s="137"/>
      <c r="AB123" s="137"/>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row>
    <row r="124" spans="1:79" s="129" customFormat="1" ht="15">
      <c r="A124" s="114"/>
      <c r="B124" s="114"/>
      <c r="C124" s="114"/>
      <c r="D124" s="114"/>
      <c r="E124" s="114"/>
      <c r="F124" s="798"/>
      <c r="G124" s="154"/>
      <c r="H124" s="145"/>
      <c r="I124" s="114"/>
      <c r="J124" s="114"/>
      <c r="K124" s="114"/>
      <c r="L124" s="114"/>
      <c r="M124" s="114"/>
      <c r="N124" s="114"/>
      <c r="O124" s="114"/>
      <c r="P124" s="114"/>
      <c r="Q124" s="114"/>
      <c r="R124" s="114"/>
      <c r="S124" s="114"/>
      <c r="T124" s="114"/>
      <c r="U124" s="114"/>
      <c r="V124" s="114"/>
      <c r="W124" s="114"/>
      <c r="X124" s="114"/>
      <c r="Y124" s="137"/>
      <c r="Z124" s="137"/>
      <c r="AA124" s="137"/>
      <c r="AB124" s="137"/>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row>
    <row r="125" spans="1:79" s="129" customFormat="1" ht="15">
      <c r="A125" s="114"/>
      <c r="B125" s="114"/>
      <c r="C125" s="114"/>
      <c r="D125" s="114"/>
      <c r="E125" s="114"/>
      <c r="F125" s="155"/>
      <c r="G125" s="145"/>
      <c r="H125" s="114"/>
      <c r="I125" s="114"/>
      <c r="J125" s="114"/>
      <c r="K125" s="114"/>
      <c r="L125" s="114"/>
      <c r="M125" s="114"/>
      <c r="N125" s="114"/>
      <c r="O125" s="114"/>
      <c r="P125" s="114"/>
      <c r="Q125" s="114"/>
      <c r="R125" s="114"/>
      <c r="S125" s="114"/>
      <c r="T125" s="114"/>
      <c r="U125" s="114"/>
      <c r="V125" s="114"/>
      <c r="W125" s="114"/>
      <c r="X125" s="114"/>
      <c r="Y125" s="137"/>
      <c r="Z125" s="137"/>
      <c r="AA125" s="137"/>
      <c r="AB125" s="137"/>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row>
    <row r="126" spans="1:79" s="129" customFormat="1" ht="15">
      <c r="A126" s="114"/>
      <c r="B126" s="114"/>
      <c r="C126" s="114"/>
      <c r="D126" s="114"/>
      <c r="E126" s="114"/>
      <c r="F126" s="155"/>
      <c r="G126" s="145"/>
      <c r="H126" s="114"/>
      <c r="I126" s="114"/>
      <c r="J126" s="114"/>
      <c r="K126" s="114"/>
      <c r="L126" s="114"/>
      <c r="M126" s="114"/>
      <c r="N126" s="114"/>
      <c r="O126" s="114"/>
      <c r="P126" s="114"/>
      <c r="Q126" s="114"/>
      <c r="R126" s="114"/>
      <c r="S126" s="156"/>
      <c r="T126" s="114"/>
      <c r="U126" s="114"/>
      <c r="V126" s="114"/>
      <c r="W126" s="114"/>
      <c r="X126" s="114"/>
      <c r="Y126" s="137"/>
      <c r="Z126" s="137"/>
      <c r="AA126" s="137"/>
      <c r="AB126" s="137"/>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row>
    <row r="127" spans="1:79" s="129" customFormat="1" ht="1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37"/>
      <c r="Z127" s="137"/>
      <c r="AA127" s="137"/>
      <c r="AB127" s="137"/>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row>
    <row r="128" spans="1:79" s="129" customFormat="1" ht="15">
      <c r="A128" s="114"/>
      <c r="B128" s="114"/>
      <c r="C128" s="115"/>
      <c r="D128" s="115"/>
      <c r="E128" s="115"/>
      <c r="F128" s="114"/>
      <c r="G128" s="114"/>
      <c r="H128" s="114"/>
      <c r="I128" s="114"/>
      <c r="J128" s="114"/>
      <c r="K128" s="114"/>
      <c r="L128" s="114"/>
      <c r="M128" s="114"/>
      <c r="N128" s="114"/>
      <c r="O128" s="114"/>
      <c r="P128" s="114"/>
      <c r="Q128" s="114"/>
      <c r="R128" s="114"/>
      <c r="S128" s="157"/>
      <c r="T128" s="114"/>
      <c r="U128" s="114"/>
      <c r="V128" s="114"/>
      <c r="W128" s="798"/>
      <c r="X128" s="798"/>
      <c r="Y128" s="137"/>
      <c r="Z128" s="137"/>
      <c r="AA128" s="137"/>
      <c r="AB128" s="137"/>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row>
    <row r="129" spans="1:79" s="129" customFormat="1" ht="15">
      <c r="A129" s="114"/>
      <c r="B129" s="114"/>
      <c r="C129" s="158"/>
      <c r="D129" s="158"/>
      <c r="E129" s="158"/>
      <c r="F129" s="114"/>
      <c r="G129" s="114"/>
      <c r="H129" s="114"/>
      <c r="I129" s="114"/>
      <c r="J129" s="114"/>
      <c r="K129" s="114"/>
      <c r="L129" s="114"/>
      <c r="M129" s="114"/>
      <c r="N129" s="114"/>
      <c r="O129" s="114"/>
      <c r="P129" s="114"/>
      <c r="Q129" s="114"/>
      <c r="R129" s="114"/>
      <c r="S129" s="114"/>
      <c r="T129" s="114"/>
      <c r="U129" s="114"/>
      <c r="V129" s="114"/>
      <c r="W129" s="798"/>
      <c r="X129" s="798"/>
      <c r="Y129" s="137"/>
      <c r="Z129" s="137"/>
      <c r="AA129" s="137"/>
      <c r="AB129" s="137"/>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row>
    <row r="130" spans="1:79" s="129" customFormat="1" ht="15">
      <c r="A130" s="114"/>
      <c r="B130" s="114"/>
      <c r="C130" s="147"/>
      <c r="D130" s="147"/>
      <c r="E130" s="147"/>
      <c r="F130" s="114"/>
      <c r="G130" s="114"/>
      <c r="H130" s="114"/>
      <c r="I130" s="114"/>
      <c r="J130" s="114"/>
      <c r="K130" s="114"/>
      <c r="L130" s="114"/>
      <c r="M130" s="114"/>
      <c r="N130" s="114"/>
      <c r="O130" s="114"/>
      <c r="P130" s="114"/>
      <c r="Q130" s="114"/>
      <c r="R130" s="114"/>
      <c r="S130" s="114"/>
      <c r="T130" s="114"/>
      <c r="U130" s="114"/>
      <c r="V130" s="114"/>
      <c r="W130" s="798"/>
      <c r="X130" s="798"/>
      <c r="Y130" s="137"/>
      <c r="Z130" s="137"/>
      <c r="AA130" s="137"/>
      <c r="AB130" s="137"/>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row>
    <row r="131" spans="1:79" s="129" customFormat="1" ht="15">
      <c r="A131" s="114"/>
      <c r="B131" s="114"/>
      <c r="C131" s="158"/>
      <c r="D131" s="158"/>
      <c r="E131" s="158"/>
      <c r="F131" s="114"/>
      <c r="G131" s="114"/>
      <c r="H131" s="114"/>
      <c r="I131" s="159"/>
      <c r="J131" s="159"/>
      <c r="K131" s="159"/>
      <c r="L131" s="159"/>
      <c r="M131" s="114"/>
      <c r="N131" s="114"/>
      <c r="O131" s="114"/>
      <c r="P131" s="114"/>
      <c r="Q131" s="114"/>
      <c r="R131" s="114"/>
      <c r="S131" s="114"/>
      <c r="T131" s="114"/>
      <c r="U131" s="114"/>
      <c r="V131" s="114"/>
      <c r="W131" s="798"/>
      <c r="X131" s="798"/>
      <c r="Y131" s="137"/>
      <c r="Z131" s="137"/>
      <c r="AA131" s="137"/>
      <c r="AB131" s="137"/>
      <c r="AC131" s="113"/>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row>
    <row r="132" spans="1:79" s="129" customFormat="1" ht="15">
      <c r="A132" s="114"/>
      <c r="B132" s="114"/>
      <c r="C132" s="115"/>
      <c r="D132" s="115"/>
      <c r="E132" s="115"/>
      <c r="F132" s="114"/>
      <c r="G132" s="147"/>
      <c r="H132" s="114"/>
      <c r="I132" s="114"/>
      <c r="J132" s="114"/>
      <c r="K132" s="114"/>
      <c r="L132" s="114"/>
      <c r="M132" s="114"/>
      <c r="N132" s="114"/>
      <c r="O132" s="114"/>
      <c r="P132" s="114"/>
      <c r="Q132" s="114"/>
      <c r="R132" s="114"/>
      <c r="S132" s="114"/>
      <c r="T132" s="114"/>
      <c r="U132" s="114"/>
      <c r="V132" s="114"/>
      <c r="W132" s="798"/>
      <c r="X132" s="798"/>
      <c r="Y132" s="137"/>
      <c r="Z132" s="137"/>
      <c r="AA132" s="137"/>
      <c r="AB132" s="137"/>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row>
    <row r="133" spans="1:79" s="129" customFormat="1" ht="15">
      <c r="A133" s="114"/>
      <c r="B133" s="114"/>
      <c r="C133" s="114"/>
      <c r="D133" s="114"/>
      <c r="E133" s="114"/>
      <c r="F133" s="114"/>
      <c r="G133" s="114"/>
      <c r="H133" s="144"/>
      <c r="I133" s="114"/>
      <c r="J133" s="114"/>
      <c r="K133" s="114"/>
      <c r="L133" s="114"/>
      <c r="M133" s="160"/>
      <c r="N133" s="160"/>
      <c r="O133" s="160"/>
      <c r="P133" s="160"/>
      <c r="Q133" s="161"/>
      <c r="R133" s="161"/>
      <c r="S133" s="114"/>
      <c r="T133" s="114"/>
      <c r="U133" s="114"/>
      <c r="V133" s="114"/>
      <c r="W133" s="162"/>
      <c r="X133" s="162"/>
      <c r="Y133" s="137"/>
      <c r="Z133" s="137"/>
      <c r="AA133" s="137"/>
      <c r="AB133" s="137"/>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row>
    <row r="134" spans="1:79" s="129" customFormat="1" ht="15">
      <c r="A134" s="114"/>
      <c r="B134" s="114"/>
      <c r="C134" s="115"/>
      <c r="D134" s="115"/>
      <c r="E134" s="115"/>
      <c r="F134" s="114"/>
      <c r="G134" s="114"/>
      <c r="H134" s="114"/>
      <c r="I134" s="144"/>
      <c r="J134" s="144"/>
      <c r="K134" s="144"/>
      <c r="L134" s="144"/>
      <c r="M134" s="148"/>
      <c r="N134" s="148"/>
      <c r="O134" s="148"/>
      <c r="P134" s="148"/>
      <c r="Q134" s="148"/>
      <c r="R134" s="148"/>
      <c r="S134" s="114"/>
      <c r="T134" s="114"/>
      <c r="U134" s="114"/>
      <c r="V134" s="114"/>
      <c r="W134" s="162"/>
      <c r="X134" s="162"/>
      <c r="Y134" s="137"/>
      <c r="Z134" s="137"/>
      <c r="AA134" s="137"/>
      <c r="AB134" s="137"/>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row>
    <row r="135" spans="1:79" s="129" customFormat="1" ht="15">
      <c r="A135" s="114"/>
      <c r="B135" s="114"/>
      <c r="C135" s="150"/>
      <c r="D135" s="150"/>
      <c r="E135" s="150"/>
      <c r="F135" s="114"/>
      <c r="G135" s="114"/>
      <c r="H135" s="114"/>
      <c r="I135" s="114"/>
      <c r="J135" s="114"/>
      <c r="K135" s="114"/>
      <c r="L135" s="114"/>
      <c r="M135" s="160"/>
      <c r="N135" s="160"/>
      <c r="O135" s="160"/>
      <c r="P135" s="160"/>
      <c r="Q135" s="148"/>
      <c r="R135" s="148"/>
      <c r="S135" s="889"/>
      <c r="T135" s="890"/>
      <c r="U135" s="114"/>
      <c r="V135" s="114"/>
      <c r="W135" s="162"/>
      <c r="X135" s="162"/>
      <c r="Y135" s="137"/>
      <c r="Z135" s="137"/>
      <c r="AA135" s="137"/>
      <c r="AB135" s="137"/>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row>
    <row r="136" spans="1:79" s="129" customFormat="1" ht="15">
      <c r="A136" s="114"/>
      <c r="B136" s="114"/>
      <c r="C136" s="163"/>
      <c r="D136" s="163"/>
      <c r="E136" s="163"/>
      <c r="F136" s="114"/>
      <c r="G136" s="114"/>
      <c r="H136" s="788"/>
      <c r="I136" s="124"/>
      <c r="J136" s="124"/>
      <c r="K136" s="124"/>
      <c r="L136" s="124"/>
      <c r="M136" s="798"/>
      <c r="N136" s="798"/>
      <c r="O136" s="798"/>
      <c r="P136" s="798"/>
      <c r="Q136" s="148"/>
      <c r="R136" s="148"/>
      <c r="S136" s="889"/>
      <c r="T136" s="890"/>
      <c r="U136" s="114"/>
      <c r="V136" s="114"/>
      <c r="W136" s="162"/>
      <c r="X136" s="162"/>
      <c r="Y136" s="137"/>
      <c r="Z136" s="137"/>
      <c r="AA136" s="137"/>
      <c r="AB136" s="137"/>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row>
    <row r="137" spans="1:79" s="129" customFormat="1" ht="15">
      <c r="A137" s="114"/>
      <c r="B137" s="114"/>
      <c r="C137" s="150"/>
      <c r="D137" s="150"/>
      <c r="E137" s="150"/>
      <c r="F137" s="114"/>
      <c r="G137" s="114"/>
      <c r="H137" s="788"/>
      <c r="I137" s="124"/>
      <c r="J137" s="124"/>
      <c r="K137" s="124"/>
      <c r="L137" s="124"/>
      <c r="M137" s="798"/>
      <c r="N137" s="798"/>
      <c r="O137" s="798"/>
      <c r="P137" s="798"/>
      <c r="Q137" s="161"/>
      <c r="R137" s="161"/>
      <c r="S137" s="889"/>
      <c r="T137" s="890"/>
      <c r="U137" s="114"/>
      <c r="V137" s="114"/>
      <c r="W137" s="162"/>
      <c r="X137" s="162"/>
      <c r="Y137" s="137"/>
      <c r="Z137" s="137"/>
      <c r="AA137" s="137"/>
      <c r="AB137" s="137"/>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row>
    <row r="138" spans="1:79" s="129" customFormat="1" ht="15">
      <c r="A138" s="114"/>
      <c r="B138" s="114"/>
      <c r="C138" s="150"/>
      <c r="D138" s="150"/>
      <c r="E138" s="150"/>
      <c r="F138" s="114"/>
      <c r="G138" s="114"/>
      <c r="H138" s="788"/>
      <c r="I138" s="124"/>
      <c r="J138" s="124"/>
      <c r="K138" s="124"/>
      <c r="L138" s="124"/>
      <c r="M138" s="798"/>
      <c r="N138" s="798"/>
      <c r="O138" s="798"/>
      <c r="P138" s="798"/>
      <c r="Q138" s="161"/>
      <c r="R138" s="161"/>
      <c r="S138" s="889"/>
      <c r="T138" s="890"/>
      <c r="U138" s="114"/>
      <c r="V138" s="114"/>
      <c r="W138" s="162"/>
      <c r="X138" s="162"/>
      <c r="Y138" s="137"/>
      <c r="Z138" s="137"/>
      <c r="AA138" s="137"/>
      <c r="AB138" s="137"/>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row>
    <row r="139" spans="1:79" s="129" customFormat="1" ht="15">
      <c r="A139" s="114"/>
      <c r="B139" s="114"/>
      <c r="C139" s="163"/>
      <c r="D139" s="163"/>
      <c r="E139" s="163"/>
      <c r="F139" s="114"/>
      <c r="G139" s="114"/>
      <c r="H139" s="164"/>
      <c r="I139" s="124"/>
      <c r="J139" s="124"/>
      <c r="K139" s="124"/>
      <c r="L139" s="124"/>
      <c r="M139" s="165"/>
      <c r="N139" s="165"/>
      <c r="O139" s="165"/>
      <c r="P139" s="165"/>
      <c r="Q139" s="148"/>
      <c r="R139" s="148"/>
      <c r="S139" s="889"/>
      <c r="T139" s="890"/>
      <c r="U139" s="114"/>
      <c r="V139" s="114"/>
      <c r="W139" s="162"/>
      <c r="X139" s="162"/>
      <c r="Y139" s="137"/>
      <c r="Z139" s="137"/>
      <c r="AA139" s="137"/>
      <c r="AB139" s="137"/>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row>
    <row r="140" spans="1:79" s="129" customFormat="1" ht="15">
      <c r="A140" s="166"/>
      <c r="B140" s="166"/>
      <c r="C140" s="163"/>
      <c r="D140" s="163"/>
      <c r="E140" s="163"/>
      <c r="F140" s="114"/>
      <c r="G140" s="114"/>
      <c r="H140" s="114"/>
      <c r="I140" s="124"/>
      <c r="J140" s="124"/>
      <c r="K140" s="124"/>
      <c r="L140" s="124"/>
      <c r="M140" s="165"/>
      <c r="N140" s="165"/>
      <c r="O140" s="165"/>
      <c r="P140" s="165"/>
      <c r="Q140" s="148"/>
      <c r="R140" s="148"/>
      <c r="S140" s="889"/>
      <c r="T140" s="890"/>
      <c r="U140" s="114"/>
      <c r="V140" s="114"/>
      <c r="W140" s="798"/>
      <c r="X140" s="798"/>
      <c r="Y140" s="167"/>
      <c r="Z140" s="137"/>
      <c r="AA140" s="137"/>
      <c r="AB140" s="137"/>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row>
    <row r="141" spans="1:79" s="129" customFormat="1" ht="15">
      <c r="A141" s="114"/>
      <c r="B141" s="114"/>
      <c r="C141" s="163"/>
      <c r="D141" s="163"/>
      <c r="E141" s="163"/>
      <c r="F141" s="114"/>
      <c r="G141" s="114"/>
      <c r="H141" s="114"/>
      <c r="I141" s="124"/>
      <c r="J141" s="124"/>
      <c r="K141" s="124"/>
      <c r="L141" s="124"/>
      <c r="AB141" s="137"/>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row>
    <row r="142" spans="1:79" s="129" customFormat="1" ht="15">
      <c r="A142" s="114"/>
      <c r="B142" s="114"/>
      <c r="C142" s="150"/>
      <c r="D142" s="150"/>
      <c r="E142" s="150"/>
      <c r="F142" s="114"/>
      <c r="G142" s="114"/>
      <c r="H142" s="114"/>
      <c r="I142" s="124"/>
      <c r="J142" s="124"/>
      <c r="K142" s="124"/>
      <c r="L142" s="124"/>
      <c r="AB142" s="137"/>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row>
    <row r="143" spans="1:79" s="129" customFormat="1" ht="15">
      <c r="A143" s="114"/>
      <c r="B143" s="114"/>
      <c r="C143" s="163"/>
      <c r="D143" s="163"/>
      <c r="E143" s="163"/>
      <c r="F143" s="114"/>
      <c r="G143" s="114"/>
      <c r="H143" s="788"/>
      <c r="I143" s="124"/>
      <c r="J143" s="124"/>
      <c r="K143" s="124"/>
      <c r="L143" s="124"/>
      <c r="M143" s="798"/>
      <c r="N143" s="798"/>
      <c r="O143" s="798"/>
      <c r="P143" s="798"/>
      <c r="Q143" s="148"/>
      <c r="R143" s="148"/>
      <c r="S143" s="134"/>
      <c r="T143" s="114"/>
      <c r="U143" s="114"/>
      <c r="V143" s="114"/>
      <c r="W143" s="162"/>
      <c r="X143" s="162"/>
      <c r="Y143" s="137"/>
      <c r="Z143" s="137"/>
      <c r="AA143" s="137"/>
      <c r="AB143" s="137"/>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row>
    <row r="144" spans="1:79" s="129" customFormat="1" ht="15">
      <c r="A144" s="137"/>
      <c r="B144" s="137"/>
      <c r="C144" s="163"/>
      <c r="D144" s="163"/>
      <c r="E144" s="163"/>
      <c r="F144" s="168"/>
      <c r="G144" s="114"/>
      <c r="H144" s="125"/>
      <c r="I144" s="169"/>
      <c r="J144" s="169"/>
      <c r="K144" s="169"/>
      <c r="L144" s="169"/>
      <c r="M144" s="124"/>
      <c r="N144" s="124"/>
      <c r="O144" s="124"/>
      <c r="P144" s="124"/>
      <c r="Q144" s="148"/>
      <c r="R144" s="148"/>
      <c r="AA144" s="137"/>
      <c r="AB144" s="137"/>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row>
    <row r="145" spans="1:79" s="129" customFormat="1" ht="15">
      <c r="A145" s="137"/>
      <c r="B145" s="137"/>
      <c r="M145" s="114"/>
      <c r="N145" s="114"/>
      <c r="O145" s="114"/>
      <c r="P145" s="114"/>
      <c r="Q145" s="134"/>
      <c r="R145" s="134"/>
      <c r="AA145" s="137"/>
      <c r="AB145" s="137"/>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row>
    <row r="146" spans="1:79" s="129" customFormat="1" ht="15">
      <c r="A146" s="137"/>
      <c r="B146" s="137"/>
      <c r="AA146" s="137"/>
      <c r="AB146" s="137"/>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row>
    <row r="147" spans="1:79" s="129" customFormat="1" ht="15">
      <c r="A147" s="137"/>
      <c r="B147" s="137"/>
      <c r="AA147" s="137"/>
      <c r="AB147" s="137"/>
      <c r="AC147" s="114"/>
      <c r="AD147" s="170"/>
      <c r="AE147" s="171"/>
      <c r="AF147" s="171"/>
      <c r="AG147" s="171"/>
      <c r="AH147" s="171"/>
      <c r="AI147" s="172"/>
      <c r="AJ147" s="170"/>
      <c r="AK147" s="173"/>
      <c r="AL147" s="173"/>
      <c r="AM147" s="170"/>
      <c r="AN147" s="170"/>
      <c r="AO147" s="170"/>
      <c r="AP147" s="170"/>
      <c r="AQ147" s="170"/>
      <c r="AR147" s="170"/>
      <c r="AS147" s="170"/>
      <c r="AT147" s="170"/>
      <c r="AU147" s="170"/>
      <c r="AV147" s="170"/>
      <c r="AW147" s="170"/>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row>
    <row r="148" spans="1:79" s="129" customFormat="1" ht="15">
      <c r="AA148" s="137"/>
      <c r="AC148" s="174"/>
      <c r="AD148" s="170"/>
      <c r="AE148" s="171"/>
      <c r="AF148" s="171"/>
      <c r="AG148" s="171"/>
      <c r="AH148" s="171"/>
      <c r="AI148" s="172"/>
      <c r="AJ148" s="170"/>
      <c r="AK148" s="173"/>
      <c r="AL148" s="173"/>
      <c r="AM148" s="170"/>
      <c r="AN148" s="170"/>
      <c r="AO148" s="170"/>
      <c r="AP148" s="170"/>
      <c r="AQ148" s="170"/>
      <c r="AR148" s="170"/>
      <c r="AS148" s="170"/>
      <c r="AT148" s="170"/>
      <c r="AU148" s="170"/>
      <c r="AV148" s="170"/>
      <c r="AW148" s="170"/>
    </row>
    <row r="149" spans="1:79" s="129" customFormat="1" ht="15">
      <c r="C149" s="175"/>
      <c r="D149" s="175"/>
      <c r="E149" s="175"/>
      <c r="F149" s="114"/>
      <c r="G149" s="114"/>
      <c r="H149" s="114"/>
      <c r="I149" s="114"/>
      <c r="J149" s="114"/>
      <c r="K149" s="114"/>
      <c r="L149" s="114"/>
      <c r="M149" s="114"/>
      <c r="N149" s="114"/>
      <c r="O149" s="114"/>
      <c r="P149" s="114"/>
      <c r="Q149" s="134"/>
      <c r="R149" s="134"/>
      <c r="S149" s="134"/>
      <c r="T149" s="114"/>
      <c r="U149" s="114"/>
      <c r="V149" s="114"/>
      <c r="W149" s="798"/>
      <c r="X149" s="798"/>
      <c r="Y149" s="137"/>
      <c r="Z149" s="137"/>
      <c r="AA149" s="137"/>
      <c r="AC149" s="174"/>
      <c r="AD149" s="170"/>
      <c r="AE149" s="171"/>
      <c r="AF149" s="171"/>
      <c r="AG149" s="171"/>
      <c r="AH149" s="171"/>
      <c r="AI149" s="172"/>
      <c r="AJ149" s="170"/>
      <c r="AK149" s="173"/>
      <c r="AL149" s="173"/>
      <c r="AM149" s="170"/>
      <c r="AN149" s="170"/>
      <c r="AO149" s="170"/>
      <c r="AP149" s="170"/>
      <c r="AQ149" s="170"/>
      <c r="AR149" s="170"/>
      <c r="AS149" s="170"/>
      <c r="AT149" s="170"/>
      <c r="AU149" s="170"/>
      <c r="AV149" s="170"/>
      <c r="AW149" s="170"/>
    </row>
    <row r="150" spans="1:79" s="129" customFormat="1" ht="15">
      <c r="C150" s="114"/>
      <c r="D150" s="114"/>
      <c r="E150" s="114"/>
      <c r="F150" s="114"/>
      <c r="G150" s="114"/>
      <c r="H150" s="114"/>
      <c r="I150" s="114"/>
      <c r="J150" s="114"/>
      <c r="K150" s="114"/>
      <c r="L150" s="114"/>
      <c r="M150" s="114"/>
      <c r="N150" s="114"/>
      <c r="O150" s="114"/>
      <c r="P150" s="114"/>
      <c r="Q150" s="114"/>
      <c r="R150" s="114"/>
      <c r="S150" s="118"/>
      <c r="T150" s="114"/>
      <c r="U150" s="114"/>
      <c r="V150" s="114"/>
      <c r="W150" s="114"/>
      <c r="X150" s="114"/>
      <c r="Y150" s="137"/>
      <c r="Z150" s="137"/>
      <c r="AA150" s="137"/>
      <c r="AC150" s="174"/>
      <c r="AD150" s="170"/>
      <c r="AE150" s="171"/>
      <c r="AF150" s="171"/>
      <c r="AG150" s="171"/>
      <c r="AH150" s="171"/>
      <c r="AI150" s="172"/>
      <c r="AJ150" s="170"/>
      <c r="AK150" s="173"/>
      <c r="AL150" s="173"/>
      <c r="AM150" s="170"/>
      <c r="AN150" s="170"/>
      <c r="AO150" s="170"/>
      <c r="AP150" s="170"/>
      <c r="AQ150" s="170"/>
      <c r="AR150" s="170"/>
      <c r="AS150" s="170"/>
      <c r="AT150" s="170"/>
      <c r="AU150" s="170"/>
      <c r="AV150" s="170"/>
      <c r="AW150" s="170"/>
    </row>
    <row r="151" spans="1:79" s="129" customFormat="1" ht="15">
      <c r="C151" s="114"/>
      <c r="D151" s="114"/>
      <c r="E151" s="114"/>
      <c r="F151" s="114"/>
      <c r="G151" s="114"/>
      <c r="H151" s="114"/>
      <c r="I151" s="114"/>
      <c r="J151" s="114"/>
      <c r="K151" s="114"/>
      <c r="L151" s="114"/>
      <c r="M151" s="114"/>
      <c r="N151" s="114"/>
      <c r="O151" s="114"/>
      <c r="P151" s="114"/>
      <c r="Q151" s="114"/>
      <c r="R151" s="114"/>
      <c r="S151" s="118"/>
      <c r="T151" s="114"/>
      <c r="U151" s="114"/>
      <c r="V151" s="114"/>
      <c r="W151" s="114"/>
      <c r="X151" s="114"/>
      <c r="Y151" s="137"/>
      <c r="Z151" s="137"/>
      <c r="AC151" s="174"/>
      <c r="AD151" s="170"/>
      <c r="AE151" s="171"/>
      <c r="AF151" s="171"/>
      <c r="AG151" s="171"/>
      <c r="AH151" s="171"/>
      <c r="AI151" s="172"/>
      <c r="AJ151" s="170"/>
      <c r="AK151" s="173"/>
      <c r="AL151" s="173"/>
      <c r="AM151" s="170"/>
      <c r="AN151" s="170"/>
      <c r="AO151" s="170"/>
      <c r="AP151" s="170"/>
      <c r="AQ151" s="170"/>
      <c r="AR151" s="170"/>
      <c r="AS151" s="170"/>
      <c r="AT151" s="170"/>
      <c r="AU151" s="170"/>
      <c r="AV151" s="170"/>
      <c r="AW151" s="170"/>
    </row>
    <row r="152" spans="1:79" s="129" customFormat="1" ht="15">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C152" s="174"/>
      <c r="AD152" s="170"/>
      <c r="AE152" s="171"/>
      <c r="AF152" s="171"/>
      <c r="AG152" s="114"/>
      <c r="AH152" s="114"/>
      <c r="AI152" s="114"/>
      <c r="AJ152" s="114"/>
      <c r="AK152" s="114"/>
      <c r="AL152" s="114"/>
      <c r="AM152" s="114"/>
      <c r="AN152" s="114"/>
      <c r="AO152" s="114"/>
      <c r="AP152" s="114"/>
      <c r="AQ152" s="114"/>
      <c r="AR152" s="114"/>
      <c r="AS152" s="114"/>
      <c r="AT152" s="114"/>
      <c r="AU152" s="114"/>
      <c r="AV152" s="114"/>
      <c r="AW152" s="114"/>
    </row>
    <row r="156" spans="1:79">
      <c r="AE156" s="126"/>
      <c r="AF156" s="126"/>
      <c r="AG156" s="127"/>
    </row>
    <row r="157" spans="1:79">
      <c r="AE157" s="126"/>
      <c r="AF157" s="126"/>
      <c r="AG157" s="127"/>
    </row>
    <row r="158" spans="1:79">
      <c r="AE158" s="126"/>
      <c r="AF158" s="126"/>
      <c r="AG158" s="127"/>
    </row>
    <row r="159" spans="1:79">
      <c r="AE159" s="126"/>
      <c r="AF159" s="126"/>
      <c r="AG159" s="127"/>
    </row>
    <row r="160" spans="1:79">
      <c r="AE160" s="126"/>
      <c r="AF160" s="126"/>
      <c r="AG160" s="127"/>
    </row>
    <row r="161" spans="31:31">
      <c r="AE161" s="126"/>
    </row>
    <row r="162" spans="31:31">
      <c r="AE162" s="126"/>
    </row>
    <row r="163" spans="31:31">
      <c r="AE163" s="126"/>
    </row>
    <row r="164" spans="31:31">
      <c r="AE164" s="126"/>
    </row>
  </sheetData>
  <mergeCells count="37">
    <mergeCell ref="A2:W2"/>
    <mergeCell ref="S140:T140"/>
    <mergeCell ref="S137:T137"/>
    <mergeCell ref="S138:T138"/>
    <mergeCell ref="S135:T135"/>
    <mergeCell ref="S136:T136"/>
    <mergeCell ref="G10:W10"/>
    <mergeCell ref="A10:F10"/>
    <mergeCell ref="G11:W11"/>
    <mergeCell ref="A6:W8"/>
    <mergeCell ref="S139:T139"/>
    <mergeCell ref="W111:Y111"/>
    <mergeCell ref="A25:A26"/>
    <mergeCell ref="Q25:W25"/>
    <mergeCell ref="A11:F11"/>
    <mergeCell ref="W99:Y99"/>
    <mergeCell ref="E73:F73"/>
    <mergeCell ref="E74:F74"/>
    <mergeCell ref="E75:F75"/>
    <mergeCell ref="E76:F76"/>
    <mergeCell ref="E77:F77"/>
    <mergeCell ref="E78:F78"/>
    <mergeCell ref="E79:F79"/>
    <mergeCell ref="E80:F80"/>
    <mergeCell ref="E81:F81"/>
    <mergeCell ref="E82:F82"/>
    <mergeCell ref="A12:F12"/>
    <mergeCell ref="G12:W12"/>
    <mergeCell ref="C25:P25"/>
    <mergeCell ref="AW15:BD15"/>
    <mergeCell ref="A13:F13"/>
    <mergeCell ref="G13:W13"/>
    <mergeCell ref="A19:W23"/>
    <mergeCell ref="A14:F14"/>
    <mergeCell ref="A15:F15"/>
    <mergeCell ref="G14:W14"/>
    <mergeCell ref="G15:W15"/>
  </mergeCells>
  <phoneticPr fontId="69" type="noConversion"/>
  <pageMargins left="0.75" right="0.75" top="1" bottom="1" header="0.5" footer="0.5"/>
  <pageSetup scale="58" orientation="landscape" horizontalDpi="4294967292" verticalDpi="4294967292" r:id="rId1"/>
  <headerFooter alignWithMargins="0"/>
  <rowBreaks count="1" manualBreakCount="1">
    <brk id="25" max="16383" man="1"/>
  </rowBreaks>
  <colBreaks count="1" manualBreakCount="1">
    <brk id="26" max="1048575" man="1"/>
  </colBreaks>
  <ignoredErrors>
    <ignoredError sqref="Z28:Z67"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'Drop Down Lists'!$AU$2:$AU$5</xm:f>
          </x14:formula1>
          <xm:sqref>B69:B70</xm:sqref>
        </x14:dataValidation>
        <x14:dataValidation type="list" allowBlank="1" showInputMessage="1" showErrorMessage="1" xr:uid="{F1B91817-58C1-4B5F-B979-3D435ED764B1}">
          <x14:formula1>
            <xm:f>'Drop Down Lists'!$BB$2:$BB$5</xm:f>
          </x14:formula1>
          <xm:sqref>O28:O67</xm:sqref>
        </x14:dataValidation>
        <x14:dataValidation type="list" allowBlank="1" showInputMessage="1" showErrorMessage="1" xr:uid="{99BBBA99-CF7B-4FA0-9BE7-F33A2B528F4C}">
          <x14:formula1>
            <xm:f>'Drop Down Lists'!$BC$2:$BC$8</xm:f>
          </x14:formula1>
          <xm:sqref>N28:N67</xm:sqref>
        </x14:dataValidation>
        <x14:dataValidation type="list" allowBlank="1" showInputMessage="1" showErrorMessage="1" xr:uid="{BDEC9728-BEC7-4F8E-BDC9-B527FAD18377}">
          <x14:formula1>
            <xm:f>'Drop Down Lists'!$AU$2:$AU$7</xm:f>
          </x14:formula1>
          <xm:sqref>B28:B67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EL1868"/>
  <sheetViews>
    <sheetView zoomScale="85" zoomScaleNormal="85" workbookViewId="0">
      <selection activeCell="J14" sqref="J14"/>
    </sheetView>
  </sheetViews>
  <sheetFormatPr defaultColWidth="8.85546875" defaultRowHeight="15" outlineLevelRow="1"/>
  <cols>
    <col min="1" max="1" width="9.140625" style="45"/>
    <col min="2" max="2" width="20.7109375" customWidth="1"/>
    <col min="3" max="3" width="73.28515625" customWidth="1"/>
    <col min="4" max="7" width="16" customWidth="1"/>
    <col min="8" max="8" width="21.28515625" style="106" customWidth="1"/>
    <col min="9" max="9" width="20.85546875" customWidth="1"/>
    <col min="10" max="10" width="15.140625" style="45" bestFit="1" customWidth="1"/>
    <col min="11" max="26" width="8.7109375" style="45" customWidth="1"/>
    <col min="27" max="27" width="11.42578125" style="45" customWidth="1"/>
    <col min="28" max="43" width="8.7109375" style="45" customWidth="1"/>
    <col min="44" max="85" width="8.85546875" style="45"/>
    <col min="86" max="142" width="9.140625" style="45"/>
  </cols>
  <sheetData>
    <row r="1" spans="1:142" s="45" customFormat="1" ht="15.95" thickBot="1"/>
    <row r="2" spans="1:142" s="106" customFormat="1" ht="15.6" customHeight="1">
      <c r="A2" s="45"/>
      <c r="B2" s="914" t="s">
        <v>514</v>
      </c>
      <c r="C2" s="915"/>
      <c r="D2" s="915"/>
      <c r="E2" s="915"/>
      <c r="F2" s="915"/>
      <c r="G2" s="915"/>
      <c r="H2" s="915"/>
      <c r="I2" s="916"/>
      <c r="J2" s="45"/>
      <c r="K2" s="1118" t="s">
        <v>68</v>
      </c>
      <c r="L2" s="1118"/>
      <c r="M2" s="45"/>
      <c r="N2" s="458"/>
      <c r="O2" s="458"/>
      <c r="P2" s="458"/>
      <c r="Q2" s="458"/>
      <c r="R2" s="458"/>
      <c r="S2" s="458"/>
      <c r="T2" s="458"/>
      <c r="U2" s="458"/>
      <c r="V2" s="458"/>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row>
    <row r="3" spans="1:142" s="106" customFormat="1" ht="15.6" customHeight="1">
      <c r="A3" s="45"/>
      <c r="B3" s="917"/>
      <c r="C3" s="918"/>
      <c r="D3" s="918"/>
      <c r="E3" s="918"/>
      <c r="F3" s="918"/>
      <c r="G3" s="918"/>
      <c r="H3" s="918"/>
      <c r="I3" s="919"/>
      <c r="J3" s="45"/>
      <c r="K3" s="1119" t="s">
        <v>69</v>
      </c>
      <c r="L3" s="1119"/>
      <c r="M3" s="454"/>
      <c r="N3" s="458"/>
      <c r="O3" s="458"/>
      <c r="P3" s="458"/>
      <c r="Q3" s="458"/>
      <c r="R3" s="458"/>
      <c r="S3" s="458"/>
      <c r="T3" s="458"/>
      <c r="U3" s="458"/>
      <c r="V3" s="458"/>
      <c r="W3" s="454"/>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row>
    <row r="4" spans="1:142" s="106" customFormat="1" ht="15.6" customHeight="1">
      <c r="A4" s="45"/>
      <c r="B4" s="917"/>
      <c r="C4" s="918"/>
      <c r="D4" s="918"/>
      <c r="E4" s="918"/>
      <c r="F4" s="918"/>
      <c r="G4" s="918"/>
      <c r="H4" s="918"/>
      <c r="I4" s="919"/>
      <c r="J4" s="45"/>
      <c r="K4" s="1120" t="s">
        <v>70</v>
      </c>
      <c r="L4" s="1121"/>
      <c r="M4" s="454"/>
      <c r="N4" s="458"/>
      <c r="O4" s="458"/>
      <c r="P4" s="458"/>
      <c r="Q4" s="458"/>
      <c r="R4" s="458"/>
      <c r="S4" s="458"/>
      <c r="T4" s="458"/>
      <c r="U4" s="458"/>
      <c r="V4" s="458"/>
      <c r="W4" s="454"/>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row>
    <row r="5" spans="1:142" s="106" customFormat="1" ht="15.6" customHeight="1">
      <c r="A5" s="45"/>
      <c r="B5" s="917"/>
      <c r="C5" s="918"/>
      <c r="D5" s="918"/>
      <c r="E5" s="918"/>
      <c r="F5" s="918"/>
      <c r="G5" s="918"/>
      <c r="H5" s="918"/>
      <c r="I5" s="919"/>
      <c r="J5" s="45"/>
      <c r="K5" s="1122" t="s">
        <v>71</v>
      </c>
      <c r="L5" s="1122"/>
      <c r="M5" s="454"/>
      <c r="N5" s="458"/>
      <c r="O5" s="458"/>
      <c r="P5" s="458"/>
      <c r="Q5" s="458"/>
      <c r="R5" s="458"/>
      <c r="S5" s="458"/>
      <c r="T5" s="458"/>
      <c r="U5" s="458"/>
      <c r="V5" s="458"/>
      <c r="W5" s="454"/>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row>
    <row r="6" spans="1:142" s="106" customFormat="1" ht="15.6" customHeight="1" thickBot="1">
      <c r="A6" s="45"/>
      <c r="B6" s="920"/>
      <c r="C6" s="921"/>
      <c r="D6" s="921"/>
      <c r="E6" s="921"/>
      <c r="F6" s="921"/>
      <c r="G6" s="921"/>
      <c r="H6" s="921"/>
      <c r="I6" s="922"/>
      <c r="J6" s="45"/>
      <c r="K6" s="45"/>
      <c r="L6" s="45"/>
      <c r="M6" s="454"/>
      <c r="N6" s="458"/>
      <c r="O6" s="458"/>
      <c r="P6" s="458"/>
      <c r="Q6" s="458"/>
      <c r="R6" s="458"/>
      <c r="S6" s="458"/>
      <c r="T6" s="458"/>
      <c r="U6" s="458"/>
      <c r="V6" s="458"/>
      <c r="W6" s="454"/>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row>
    <row r="7" spans="1:142" s="45" customFormat="1">
      <c r="B7" s="454"/>
      <c r="C7" s="454"/>
      <c r="M7" s="454"/>
      <c r="N7" s="454"/>
      <c r="O7" s="454"/>
      <c r="P7" s="454"/>
      <c r="Q7" s="454"/>
      <c r="R7" s="454"/>
      <c r="S7" s="454"/>
      <c r="T7" s="454"/>
      <c r="U7" s="454"/>
      <c r="V7" s="454"/>
      <c r="W7" s="454"/>
    </row>
    <row r="8" spans="1:142" s="106" customFormat="1" ht="18.95">
      <c r="A8" s="45"/>
      <c r="B8" s="911" t="s">
        <v>515</v>
      </c>
      <c r="C8" s="911"/>
      <c r="D8" s="911"/>
      <c r="E8" s="911"/>
      <c r="F8" s="911"/>
      <c r="G8" s="911"/>
      <c r="H8" s="911"/>
      <c r="I8" s="911"/>
      <c r="J8" s="45"/>
      <c r="K8" s="45"/>
      <c r="L8" s="45"/>
      <c r="M8" s="454"/>
      <c r="N8" s="454"/>
      <c r="O8" s="454"/>
      <c r="P8" s="454"/>
      <c r="Q8" s="454"/>
      <c r="R8" s="454"/>
      <c r="S8" s="454"/>
      <c r="T8" s="454"/>
      <c r="U8" s="454"/>
      <c r="V8" s="454"/>
      <c r="W8" s="454"/>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row>
    <row r="9" spans="1:142" s="45" customFormat="1" ht="15.6" customHeight="1" thickBot="1">
      <c r="B9" s="455"/>
      <c r="C9" s="455"/>
      <c r="D9" s="455"/>
      <c r="E9" s="455"/>
      <c r="F9" s="455"/>
      <c r="G9" s="455"/>
      <c r="H9" s="455"/>
      <c r="I9" s="455"/>
      <c r="K9" s="454"/>
      <c r="L9" s="454"/>
      <c r="M9" s="454"/>
      <c r="N9" s="454"/>
      <c r="O9" s="454"/>
      <c r="P9" s="454"/>
      <c r="Q9" s="454"/>
      <c r="R9" s="454"/>
      <c r="S9" s="454"/>
      <c r="T9" s="454"/>
      <c r="U9" s="454"/>
      <c r="V9" s="454"/>
      <c r="W9" s="454"/>
    </row>
    <row r="10" spans="1:142" s="106" customFormat="1" ht="15.6" customHeight="1" thickBot="1">
      <c r="A10" s="45"/>
      <c r="B10" s="453">
        <v>20</v>
      </c>
      <c r="C10" s="433" t="s">
        <v>516</v>
      </c>
      <c r="D10" s="742" t="str">
        <f>IF('Building Info &amp; Assumptions'!B57&lt;Alternatives!B10,"Alert: Analysis period must be less than or equal to holding period (see tab 'Building Info &amp; Assumptions'). Please adjust.","")</f>
        <v/>
      </c>
      <c r="E10" s="45"/>
      <c r="F10" s="45"/>
      <c r="G10" s="45"/>
      <c r="H10" s="45"/>
      <c r="I10" s="469"/>
      <c r="J10" s="45"/>
      <c r="K10" s="454"/>
      <c r="L10" s="454"/>
      <c r="M10" s="454"/>
      <c r="N10" s="454"/>
      <c r="O10" s="454"/>
      <c r="P10" s="454"/>
      <c r="Q10" s="454"/>
      <c r="R10" s="454"/>
      <c r="S10" s="454"/>
      <c r="T10" s="454"/>
      <c r="U10" s="454"/>
      <c r="V10" s="454"/>
      <c r="W10" s="454"/>
      <c r="X10" s="45"/>
      <c r="Y10" s="45" t="s">
        <v>517</v>
      </c>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row>
    <row r="11" spans="1:142" s="106" customFormat="1" ht="15.6" customHeight="1" thickBot="1">
      <c r="A11" s="45"/>
      <c r="B11" s="453">
        <v>2021</v>
      </c>
      <c r="C11" s="433" t="s">
        <v>518</v>
      </c>
      <c r="D11" s="468"/>
      <c r="E11" s="576">
        <f>'Building Info &amp; Assumptions'!$B$57</f>
        <v>20</v>
      </c>
      <c r="F11" s="912" t="s">
        <v>519</v>
      </c>
      <c r="G11" s="913"/>
      <c r="H11" s="699"/>
      <c r="I11" s="469"/>
      <c r="J11" s="45"/>
      <c r="K11" s="45"/>
      <c r="L11" s="45"/>
      <c r="M11" s="454"/>
      <c r="N11" s="454"/>
      <c r="O11" s="454"/>
      <c r="P11" s="454"/>
      <c r="Q11" s="454"/>
      <c r="R11" s="454"/>
      <c r="S11" s="454"/>
      <c r="T11" s="454"/>
      <c r="U11" s="454"/>
      <c r="V11" s="454"/>
      <c r="W11" s="454"/>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72" t="s">
        <v>520</v>
      </c>
      <c r="BA11" s="472"/>
      <c r="BB11" s="472"/>
      <c r="BC11" s="472"/>
      <c r="BD11" s="472"/>
      <c r="BE11" s="472"/>
      <c r="BF11" s="472"/>
      <c r="BG11" s="472"/>
      <c r="BH11" s="472"/>
      <c r="BI11" s="472"/>
      <c r="BJ11" s="472"/>
      <c r="BK11" s="472"/>
      <c r="BL11" s="472"/>
      <c r="BM11" s="592"/>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row>
    <row r="12" spans="1:142" s="45" customFormat="1" ht="15.95" thickBot="1">
      <c r="B12" s="456"/>
      <c r="C12" s="456"/>
      <c r="K12" s="454"/>
      <c r="L12" s="454"/>
      <c r="M12" s="454"/>
      <c r="N12" s="454"/>
      <c r="O12" s="454"/>
      <c r="P12" s="454"/>
      <c r="Q12" s="454"/>
      <c r="R12" s="454"/>
      <c r="S12" s="454"/>
      <c r="T12" s="454"/>
      <c r="U12" s="454"/>
      <c r="V12" s="454"/>
      <c r="W12" s="454"/>
    </row>
    <row r="13" spans="1:142" s="45" customFormat="1" ht="15.95" thickBot="1">
      <c r="B13" s="905" t="s">
        <v>434</v>
      </c>
      <c r="C13" s="906"/>
      <c r="D13" s="906"/>
      <c r="E13" s="906"/>
      <c r="F13" s="906"/>
      <c r="G13" s="906"/>
      <c r="H13" s="906"/>
      <c r="I13" s="907"/>
      <c r="K13" s="458"/>
      <c r="L13" s="458"/>
      <c r="M13" s="458"/>
      <c r="N13" s="458"/>
      <c r="O13" s="458"/>
      <c r="P13" s="458"/>
      <c r="Q13" s="458"/>
      <c r="R13" s="458"/>
      <c r="S13" s="458"/>
      <c r="T13" s="458"/>
      <c r="U13" s="458"/>
      <c r="V13" s="458"/>
    </row>
    <row r="14" spans="1:142" ht="32.1">
      <c r="B14" s="711"/>
      <c r="C14" s="470" t="s">
        <v>521</v>
      </c>
      <c r="D14" s="470" t="s">
        <v>3</v>
      </c>
      <c r="E14" s="712" t="s">
        <v>4</v>
      </c>
      <c r="F14" s="470" t="s">
        <v>5</v>
      </c>
      <c r="G14" s="713" t="s">
        <v>6</v>
      </c>
      <c r="H14" s="714" t="s">
        <v>522</v>
      </c>
      <c r="I14" s="704" t="s">
        <v>523</v>
      </c>
      <c r="J14" s="796"/>
    </row>
    <row r="15" spans="1:142" ht="14.1" customHeight="1">
      <c r="B15" s="1123" t="s">
        <v>524</v>
      </c>
      <c r="C15" s="1124" t="s">
        <v>525</v>
      </c>
      <c r="D15" s="1125">
        <f>SUMIF('Narrative &amp; Measures'!B28:B67, "Immediate Repairs: Life Safety and Critical",'Narrative &amp; Measures'!C28:C67)</f>
        <v>0</v>
      </c>
      <c r="E15" s="1126">
        <f>SUMIF('Narrative &amp; Measures'!B28:B38, "Immediate Repairs: Life Safety and Critical",'Narrative &amp; Measures'!U28:U38)</f>
        <v>0</v>
      </c>
      <c r="F15" s="1125">
        <f>IF(E15&gt;'Building Info &amp; Assumptions'!$E$61,E15,0)</f>
        <v>0</v>
      </c>
      <c r="G15" s="1126">
        <f>IF(E15&lt;'Building Info &amp; Assumptions'!$E$61,E15,0)</f>
        <v>0</v>
      </c>
      <c r="H15" s="1127" t="s">
        <v>376</v>
      </c>
      <c r="I15" s="1128">
        <v>1</v>
      </c>
      <c r="J15" s="445"/>
    </row>
    <row r="16" spans="1:142" s="106" customFormat="1" ht="14.1" customHeight="1">
      <c r="A16" s="45"/>
      <c r="B16" s="1123" t="s">
        <v>526</v>
      </c>
      <c r="C16" s="1129" t="s">
        <v>527</v>
      </c>
      <c r="D16" s="1125">
        <f>SUMIF('Narrative &amp; Measures'!B28:B67, "Deferred Maintenance",'Narrative &amp; Measures'!C28:C67)</f>
        <v>0</v>
      </c>
      <c r="E16" s="1126">
        <f>SUMIF('Narrative &amp; Measures'!B29:B32, "Immediate Repairs: Life Safety and Critical",'Narrative &amp; Measures'!U29:U32)</f>
        <v>0</v>
      </c>
      <c r="F16" s="1125">
        <f>IF(E16&gt;'Building Info &amp; Assumptions'!$E$61,E16,0)</f>
        <v>0</v>
      </c>
      <c r="G16" s="1126">
        <f>IF(E16&lt;'Building Info &amp; Assumptions'!$E$61,E16,0)</f>
        <v>0</v>
      </c>
      <c r="H16" s="1127" t="s">
        <v>376</v>
      </c>
      <c r="I16" s="1128">
        <v>1</v>
      </c>
      <c r="J16" s="4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row>
    <row r="17" spans="1:142" s="106" customFormat="1" ht="14.1" customHeight="1">
      <c r="A17" s="45"/>
      <c r="B17" s="1123"/>
      <c r="C17" s="1130"/>
      <c r="D17" s="1131">
        <f>IF(C17="",0, IFERROR(INDEX('Narrative &amp; Measures'!$C$28:$C$67,MATCH(C17,'Narrative &amp; Measures'!$A$28:$A$67,0)),0))</f>
        <v>0</v>
      </c>
      <c r="E17" s="1131">
        <f>IF(C17="",0, IFERROR(INDEX('Narrative &amp; Measures'!$U$28:$U$67,MATCH(C17,'Narrative &amp; Measures'!$A$28:$A$67,0)),0))</f>
        <v>0</v>
      </c>
      <c r="F17" s="1131">
        <f>IF(E17&gt;'Building Info &amp; Assumptions'!$E$61,E17,0)</f>
        <v>0</v>
      </c>
      <c r="G17" s="1131">
        <f>IF(E17&lt;'Building Info &amp; Assumptions'!$E$61,E17,0)</f>
        <v>0</v>
      </c>
      <c r="H17" s="1127"/>
      <c r="I17" s="1128"/>
      <c r="J17" s="4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row>
    <row r="18" spans="1:142">
      <c r="B18" s="715"/>
      <c r="C18" s="461"/>
      <c r="D18" s="461"/>
      <c r="E18" s="461"/>
      <c r="F18" s="461"/>
      <c r="G18" s="461"/>
      <c r="H18" s="461"/>
      <c r="I18" s="705"/>
      <c r="J18" s="445"/>
    </row>
    <row r="19" spans="1:142" s="106" customFormat="1" ht="32.1">
      <c r="A19" s="45"/>
      <c r="B19" s="706"/>
      <c r="C19" s="707" t="s">
        <v>528</v>
      </c>
      <c r="D19" s="707" t="s">
        <v>3</v>
      </c>
      <c r="E19" s="708" t="s">
        <v>4</v>
      </c>
      <c r="F19" s="709" t="s">
        <v>5</v>
      </c>
      <c r="G19" s="248" t="s">
        <v>6</v>
      </c>
      <c r="H19" s="710" t="s">
        <v>522</v>
      </c>
      <c r="I19" s="249" t="s">
        <v>523</v>
      </c>
      <c r="J19" s="4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row>
    <row r="20" spans="1:142" s="106" customFormat="1">
      <c r="A20" s="45"/>
      <c r="B20" s="1123" t="s">
        <v>321</v>
      </c>
      <c r="C20" s="1124" t="s">
        <v>529</v>
      </c>
      <c r="D20" s="1132">
        <f ca="1">SUMIF('Equipment Inventory'!AE$11:AE$34,B20,'Equipment Inventory'!$AC$11:$AC$34)</f>
        <v>113984</v>
      </c>
      <c r="E20" s="1126">
        <f ca="1">SUMIF('Equipment Inventory'!AE$11:AE$34,B20,'Equipment Inventory'!$AA$11:$AA$34)</f>
        <v>7350000</v>
      </c>
      <c r="F20" s="1133">
        <f ca="1">IF(E20&gt;'Building Info &amp; Assumptions'!$E$61,E20,0)</f>
        <v>7350000</v>
      </c>
      <c r="G20" s="1133">
        <f ca="1">IF(E20&lt;'Building Info &amp; Assumptions'!$E$61,E20,0)</f>
        <v>0</v>
      </c>
      <c r="H20" s="1127" t="s">
        <v>376</v>
      </c>
      <c r="I20" s="1134">
        <v>2</v>
      </c>
      <c r="J20" s="4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row>
    <row r="21" spans="1:142" s="106" customFormat="1">
      <c r="A21" s="45"/>
      <c r="B21" s="1123" t="s">
        <v>384</v>
      </c>
      <c r="C21" s="1124" t="s">
        <v>530</v>
      </c>
      <c r="D21" s="1132">
        <f ca="1">SUMIF('Equipment Inventory'!AE$11:AE$34,B21,'Equipment Inventory'!$AC$11:$AC$34)</f>
        <v>75504</v>
      </c>
      <c r="E21" s="1131">
        <f ca="1">SUMIF('Equipment Inventory'!AE$11:AE$34,B21,'Equipment Inventory'!$AA$11:$AA$34)</f>
        <v>5700000</v>
      </c>
      <c r="F21" s="1131">
        <f ca="1">IF(E21&gt;'Building Info &amp; Assumptions'!$E$61,E21,0)</f>
        <v>5700000</v>
      </c>
      <c r="G21" s="1131">
        <f ca="1">IF(E21&lt;'Building Info &amp; Assumptions'!$E$61,E21,0)</f>
        <v>0</v>
      </c>
      <c r="H21" s="1127" t="s">
        <v>400</v>
      </c>
      <c r="I21" s="1128">
        <v>7</v>
      </c>
      <c r="J21" s="4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row>
    <row r="22" spans="1:142" s="106" customFormat="1">
      <c r="A22" s="45"/>
      <c r="B22" s="1123" t="s">
        <v>390</v>
      </c>
      <c r="C22" s="1124" t="s">
        <v>531</v>
      </c>
      <c r="D22" s="1132">
        <f ca="1">SUMIF('Equipment Inventory'!AE$11:AE$34,B22,'Equipment Inventory'!$AC$11:$AC$34)</f>
        <v>20592</v>
      </c>
      <c r="E22" s="1131">
        <f ca="1">SUMIF('Equipment Inventory'!AE$11:AE$34,B22,'Equipment Inventory'!$AA$11:$AA$34)</f>
        <v>3000000</v>
      </c>
      <c r="F22" s="1131">
        <f ca="1">IF(E22&gt;'Building Info &amp; Assumptions'!$E$61,E22,0)</f>
        <v>3000000</v>
      </c>
      <c r="G22" s="1131">
        <f ca="1">IF(E22&lt;'Building Info &amp; Assumptions'!$E$61,E22,0)</f>
        <v>0</v>
      </c>
      <c r="H22" s="1127" t="s">
        <v>376</v>
      </c>
      <c r="I22" s="1128">
        <v>12</v>
      </c>
      <c r="J22" s="4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row>
    <row r="23" spans="1:142" s="106" customFormat="1">
      <c r="A23" s="45"/>
      <c r="B23" s="1123" t="s">
        <v>394</v>
      </c>
      <c r="C23" s="1124" t="s">
        <v>532</v>
      </c>
      <c r="D23" s="1132">
        <f ca="1">SUMIF('Equipment Inventory'!AE$11:AE$34,B23,'Equipment Inventory'!$AC$11:$AC$34)</f>
        <v>0</v>
      </c>
      <c r="E23" s="1131">
        <f ca="1">SUMIF('Equipment Inventory'!AE$11:AE$34,B23,'Equipment Inventory'!$AA$11:$AA$34)</f>
        <v>0</v>
      </c>
      <c r="F23" s="1131">
        <f ca="1">IF(E23&gt;'Building Info &amp; Assumptions'!$E$61,E23,0)</f>
        <v>0</v>
      </c>
      <c r="G23" s="1131">
        <f ca="1">IF(E23&lt;'Building Info &amp; Assumptions'!$E$61,E23,0)</f>
        <v>0</v>
      </c>
      <c r="H23" s="1127" t="s">
        <v>376</v>
      </c>
      <c r="I23" s="1128">
        <v>17</v>
      </c>
      <c r="J23" s="4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row>
    <row r="24" spans="1:142" s="106" customFormat="1">
      <c r="A24" s="45"/>
      <c r="B24" s="1123"/>
      <c r="C24" s="1124"/>
      <c r="D24" s="1132"/>
      <c r="E24" s="1131"/>
      <c r="F24" s="1131"/>
      <c r="G24" s="1131"/>
      <c r="H24" s="1127"/>
      <c r="I24" s="1128"/>
      <c r="J24" s="4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row>
    <row r="25" spans="1:142" s="106" customFormat="1">
      <c r="A25" s="45"/>
      <c r="B25" s="429"/>
      <c r="C25" s="46"/>
      <c r="D25" s="46"/>
      <c r="E25" s="46"/>
      <c r="F25" s="46"/>
      <c r="G25" s="46"/>
      <c r="H25" s="46"/>
      <c r="I25" s="1135"/>
      <c r="J25" s="4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row>
    <row r="26" spans="1:142" s="106" customFormat="1" ht="32.1">
      <c r="A26" s="45"/>
      <c r="B26" s="1136"/>
      <c r="C26" s="1137" t="s">
        <v>533</v>
      </c>
      <c r="D26" s="1137" t="s">
        <v>3</v>
      </c>
      <c r="E26" s="1138" t="s">
        <v>4</v>
      </c>
      <c r="F26" s="1139" t="s">
        <v>5</v>
      </c>
      <c r="G26" s="1140" t="s">
        <v>6</v>
      </c>
      <c r="H26" s="1141" t="s">
        <v>522</v>
      </c>
      <c r="I26" s="249" t="s">
        <v>523</v>
      </c>
      <c r="J26" s="4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row>
    <row r="27" spans="1:142" s="106" customFormat="1">
      <c r="A27" s="45"/>
      <c r="B27" s="1142" t="s">
        <v>534</v>
      </c>
      <c r="C27" s="1143" t="s">
        <v>535</v>
      </c>
      <c r="D27" s="1144">
        <v>0</v>
      </c>
      <c r="E27" s="1145">
        <v>0</v>
      </c>
      <c r="F27" s="1145">
        <v>0</v>
      </c>
      <c r="G27" s="1145">
        <f ca="1">AVERAGE('Operating Statements'!B66:U66)</f>
        <v>621001.86234152003</v>
      </c>
      <c r="H27" s="1127" t="s">
        <v>376</v>
      </c>
      <c r="I27" s="1146">
        <v>1</v>
      </c>
      <c r="J27" s="4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row>
    <row r="28" spans="1:142" s="45" customFormat="1" ht="15.95" thickBot="1">
      <c r="B28" s="1147" t="s">
        <v>536</v>
      </c>
      <c r="C28" s="1148"/>
      <c r="D28" s="1149">
        <f ca="1">SUM(D15:D27)</f>
        <v>210080</v>
      </c>
      <c r="E28" s="1149">
        <f ca="1">SUM(E15:E27)</f>
        <v>16050000</v>
      </c>
      <c r="F28" s="1149">
        <f ca="1">SUM(F15:F27)</f>
        <v>16050000</v>
      </c>
      <c r="G28" s="1149">
        <f ca="1">SUM(G15:G27)</f>
        <v>621001.86234152003</v>
      </c>
      <c r="H28" s="1150"/>
      <c r="I28" s="1151"/>
    </row>
    <row r="29" spans="1:142" s="45" customFormat="1" ht="15.95" thickBot="1">
      <c r="B29" s="43"/>
      <c r="C29" s="43"/>
      <c r="D29" s="457"/>
      <c r="E29" s="457"/>
      <c r="F29" s="457"/>
      <c r="G29" s="457"/>
      <c r="H29" s="457"/>
      <c r="I29" s="43"/>
    </row>
    <row r="30" spans="1:142" s="45" customFormat="1" ht="15.95" thickBot="1">
      <c r="B30" s="905" t="s">
        <v>436</v>
      </c>
      <c r="C30" s="906"/>
      <c r="D30" s="906"/>
      <c r="E30" s="906"/>
      <c r="F30" s="906"/>
      <c r="G30" s="906"/>
      <c r="H30" s="906"/>
      <c r="I30" s="907"/>
    </row>
    <row r="31" spans="1:142" s="45" customFormat="1" ht="32.1">
      <c r="B31" s="1136"/>
      <c r="C31" s="1137" t="s">
        <v>533</v>
      </c>
      <c r="D31" s="1137" t="s">
        <v>3</v>
      </c>
      <c r="E31" s="1138" t="s">
        <v>4</v>
      </c>
      <c r="F31" s="1139" t="s">
        <v>5</v>
      </c>
      <c r="G31" s="1140" t="s">
        <v>6</v>
      </c>
      <c r="H31" s="1141" t="s">
        <v>522</v>
      </c>
      <c r="I31" s="249" t="s">
        <v>523</v>
      </c>
    </row>
    <row r="32" spans="1:142" s="45" customFormat="1">
      <c r="B32" s="1142" t="s">
        <v>537</v>
      </c>
      <c r="C32" s="1143" t="s">
        <v>538</v>
      </c>
      <c r="D32" s="1144">
        <v>0</v>
      </c>
      <c r="E32" s="1145">
        <v>0</v>
      </c>
      <c r="F32" s="1145">
        <v>0</v>
      </c>
      <c r="G32" s="1145">
        <f ca="1">AVERAGE('Operating Statements'!B108:U108)</f>
        <v>82908.386616058531</v>
      </c>
      <c r="H32" s="1127" t="s">
        <v>376</v>
      </c>
      <c r="I32" s="1146">
        <v>1</v>
      </c>
    </row>
    <row r="33" spans="1:142" s="45" customFormat="1" ht="15.95" thickBot="1">
      <c r="B33" s="1147" t="s">
        <v>536</v>
      </c>
      <c r="C33" s="1148"/>
      <c r="D33" s="1149">
        <f ca="1">SUM(D15:D24)+D32</f>
        <v>210080</v>
      </c>
      <c r="E33" s="1149">
        <f ca="1">SUM(E15:E24)+E32</f>
        <v>16050000</v>
      </c>
      <c r="F33" s="1149">
        <f ca="1">SUM(F15:F24)+F32</f>
        <v>16050000</v>
      </c>
      <c r="G33" s="1149">
        <f ca="1">SUM(G15:G24)+G32</f>
        <v>82908.386616058531</v>
      </c>
      <c r="H33" s="1150"/>
      <c r="I33" s="1151"/>
    </row>
    <row r="34" spans="1:142" s="45" customFormat="1">
      <c r="B34" s="43"/>
      <c r="C34" s="43"/>
      <c r="D34" s="457"/>
      <c r="E34" s="457"/>
      <c r="F34" s="457"/>
      <c r="G34" s="457"/>
      <c r="H34" s="457"/>
      <c r="I34" s="43"/>
    </row>
    <row r="35" spans="1:142" s="45" customFormat="1" ht="15.95" thickBot="1">
      <c r="B35" s="43"/>
      <c r="C35" s="43"/>
      <c r="D35" s="457"/>
      <c r="E35" s="457"/>
      <c r="F35" s="457"/>
      <c r="G35" s="457"/>
      <c r="H35" s="457"/>
      <c r="I35" s="43"/>
    </row>
    <row r="36" spans="1:142" s="45" customFormat="1" ht="15.95" thickBot="1">
      <c r="B36" s="908" t="s">
        <v>61</v>
      </c>
      <c r="C36" s="909"/>
      <c r="D36" s="909"/>
      <c r="E36" s="909"/>
      <c r="F36" s="909"/>
      <c r="G36" s="909"/>
      <c r="H36" s="909"/>
      <c r="I36" s="910"/>
    </row>
    <row r="37" spans="1:142" s="119" customFormat="1" ht="171" customHeight="1">
      <c r="A37" s="467"/>
      <c r="B37" s="256" t="s">
        <v>539</v>
      </c>
      <c r="C37" s="512" t="str">
        <f>"ECM Alternative 1:"&amp;" "&amp;'Narrative &amp; Measures'!G13</f>
        <v>ECM Alternative 1: Phased Efficient Electrification with Enabling Tenant and Distribution Upgrades - 
This option replaces with efficient heat pump options for heating and cooling, while also retaining some electric resistance heating for top-up and backup. Steam is retained for backup. Tenant side efficiency measures, and heat recovery technologies, reduce overall plant size.
Cooling: Partial replacement of centrifugal chillers with highly efficient at end of useful life. Add heat recovery chillers to take advantage of simultaneous heating and cooling. 
Heating/DHW: Provide heating hot water by replacing steam heat exchanger with central air-source heat pump chillers for heating and cooling. Supplement heating with electric boilers for top-up to required temperature for hot water coils (180F). Add heat pump water heating to existing domestic hot water storage tanks.
Distribution: Over time, upgrade existing tenant HHW coils to lower-temperature (140F) to permit increased use of heat pump-only hot water - as an "enabling measure".</v>
      </c>
      <c r="D37" s="1137" t="s">
        <v>3</v>
      </c>
      <c r="E37" s="302" t="s">
        <v>4</v>
      </c>
      <c r="F37" s="247" t="s">
        <v>5</v>
      </c>
      <c r="G37" s="248" t="s">
        <v>6</v>
      </c>
      <c r="H37" s="1141" t="s">
        <v>522</v>
      </c>
      <c r="I37" s="249" t="s">
        <v>540</v>
      </c>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7"/>
      <c r="AO37" s="467"/>
      <c r="AP37" s="467"/>
      <c r="AQ37" s="467"/>
      <c r="AR37" s="467"/>
      <c r="AS37" s="467"/>
      <c r="AT37" s="467"/>
      <c r="AU37" s="467"/>
      <c r="AV37" s="467"/>
      <c r="AW37" s="467"/>
      <c r="AX37" s="467"/>
      <c r="AY37" s="467"/>
      <c r="AZ37" s="467"/>
      <c r="BA37" s="467"/>
      <c r="BB37" s="467"/>
      <c r="BC37" s="467"/>
      <c r="BD37" s="467"/>
      <c r="BE37" s="467"/>
      <c r="BF37" s="467"/>
      <c r="BG37" s="467"/>
      <c r="BH37" s="467"/>
      <c r="BI37" s="467"/>
      <c r="BJ37" s="467"/>
      <c r="BK37" s="467"/>
      <c r="BL37" s="467"/>
      <c r="BM37" s="467"/>
      <c r="BN37" s="467"/>
      <c r="BO37" s="467"/>
      <c r="BP37" s="467"/>
      <c r="BQ37" s="467"/>
      <c r="BR37" s="467"/>
      <c r="BS37" s="467"/>
      <c r="BT37" s="467"/>
      <c r="BU37" s="467"/>
      <c r="BV37" s="467"/>
      <c r="BW37" s="467"/>
      <c r="BX37" s="467"/>
      <c r="BY37" s="467"/>
      <c r="BZ37" s="467"/>
      <c r="CA37" s="467"/>
      <c r="CB37" s="467"/>
      <c r="CC37" s="467"/>
      <c r="CD37" s="467"/>
      <c r="CE37" s="467"/>
      <c r="CF37" s="467"/>
      <c r="CG37" s="467"/>
      <c r="CH37" s="467"/>
      <c r="CI37" s="467"/>
      <c r="CJ37" s="467"/>
      <c r="CK37" s="467"/>
      <c r="CL37" s="467"/>
      <c r="CM37" s="467"/>
      <c r="CN37" s="467"/>
      <c r="CO37" s="467"/>
      <c r="CP37" s="467"/>
      <c r="CQ37" s="467"/>
      <c r="CR37" s="467"/>
      <c r="CS37" s="467"/>
      <c r="CT37" s="467"/>
      <c r="CU37" s="467"/>
      <c r="CV37" s="467"/>
      <c r="CW37" s="467"/>
      <c r="CX37" s="467"/>
      <c r="CY37" s="467"/>
      <c r="CZ37" s="467"/>
      <c r="DA37" s="467"/>
      <c r="DB37" s="467"/>
      <c r="DC37" s="467"/>
      <c r="DD37" s="467"/>
      <c r="DE37" s="467"/>
      <c r="DF37" s="467"/>
      <c r="DG37" s="467"/>
      <c r="DH37" s="467"/>
      <c r="DI37" s="467"/>
      <c r="DJ37" s="467"/>
      <c r="DK37" s="467"/>
      <c r="DL37" s="467"/>
      <c r="DM37" s="467"/>
      <c r="DN37" s="467"/>
      <c r="DO37" s="467"/>
      <c r="DP37" s="467"/>
      <c r="DQ37" s="467"/>
      <c r="DR37" s="467"/>
      <c r="DS37" s="467"/>
      <c r="DT37" s="467"/>
      <c r="DU37" s="467"/>
      <c r="DV37" s="467"/>
      <c r="DW37" s="467"/>
      <c r="DX37" s="467"/>
      <c r="DY37" s="467"/>
      <c r="DZ37" s="467"/>
      <c r="EA37" s="467"/>
      <c r="EB37" s="467"/>
      <c r="EC37" s="467"/>
      <c r="ED37" s="467"/>
      <c r="EE37" s="467"/>
      <c r="EF37" s="467"/>
      <c r="EG37" s="467"/>
      <c r="EH37" s="467"/>
      <c r="EI37" s="467"/>
      <c r="EJ37" s="467"/>
      <c r="EK37" s="467"/>
      <c r="EL37" s="467"/>
    </row>
    <row r="38" spans="1:142" s="106" customFormat="1" ht="15.95" outlineLevel="1">
      <c r="A38" s="45"/>
      <c r="B38" s="1152" t="s">
        <v>541</v>
      </c>
      <c r="C38" s="1153" t="s">
        <v>496</v>
      </c>
      <c r="D38" s="1125">
        <f>IF(C38="",0, IFERROR(INDEX('Narrative &amp; Measures'!$C$28:$C$67,MATCH(C38,'Narrative &amp; Measures'!$A$28:$A$67,0)),0))</f>
        <v>42000</v>
      </c>
      <c r="E38" s="1126">
        <f>IF(C38="",0, IFERROR(INDEX('Narrative &amp; Measures'!$U$28:$U$67,MATCH(C38,'Narrative &amp; Measures'!$A$28:$A$67,0)),0))</f>
        <v>2000000</v>
      </c>
      <c r="F38" s="1133">
        <f>IF(E38&gt;'Building Info &amp; Assumptions'!$E$61,E38,0)</f>
        <v>2000000</v>
      </c>
      <c r="G38" s="1133">
        <f>IF(E38&lt;'Building Info &amp; Assumptions'!$E$61,E38,0)</f>
        <v>0</v>
      </c>
      <c r="H38" s="1127" t="s">
        <v>376</v>
      </c>
      <c r="I38" s="1134">
        <v>5</v>
      </c>
      <c r="J38" s="4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row>
    <row r="39" spans="1:142" s="106" customFormat="1" ht="15.95" outlineLevel="1">
      <c r="A39" s="45"/>
      <c r="B39" s="1152" t="s">
        <v>542</v>
      </c>
      <c r="C39" s="1154" t="s">
        <v>497</v>
      </c>
      <c r="D39" s="1131">
        <f>IF(C39="",0, IFERROR(INDEX('Narrative &amp; Measures'!$C$28:$C$67,MATCH(C39,'Narrative &amp; Measures'!$A$28:$A$67,0)),0))</f>
        <v>260000</v>
      </c>
      <c r="E39" s="1131">
        <f>IF(C39="",0, IFERROR(INDEX('Narrative &amp; Measures'!$U$28:$U$67,MATCH(C39,'Narrative &amp; Measures'!$A$28:$A$67,0)),0))</f>
        <v>3000000</v>
      </c>
      <c r="F39" s="1131">
        <f>IF(E39&gt;'Building Info &amp; Assumptions'!$E$61,E39,0)</f>
        <v>3000000</v>
      </c>
      <c r="G39" s="1131">
        <f>IF(E39&lt;'Building Info &amp; Assumptions'!$E$61,E39,0)</f>
        <v>0</v>
      </c>
      <c r="H39" s="1127" t="s">
        <v>376</v>
      </c>
      <c r="I39" s="1128">
        <v>3</v>
      </c>
      <c r="J39" s="4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row>
    <row r="40" spans="1:142" s="106" customFormat="1" ht="15.95" outlineLevel="1">
      <c r="A40" s="45"/>
      <c r="B40" s="1152" t="s">
        <v>543</v>
      </c>
      <c r="C40" s="1154" t="s">
        <v>498</v>
      </c>
      <c r="D40" s="1131">
        <f>IF(C40="",0, IFERROR(INDEX('Narrative &amp; Measures'!$C$28:$C$67,MATCH(C40,'Narrative &amp; Measures'!$A$28:$A$67,0)),0))</f>
        <v>1870000</v>
      </c>
      <c r="E40" s="1131">
        <f>IF(C40="",0, IFERROR(INDEX('Narrative &amp; Measures'!$U$28:$U$67,MATCH(C40,'Narrative &amp; Measures'!$A$28:$A$67,0)),0))</f>
        <v>25000000</v>
      </c>
      <c r="F40" s="1131">
        <f>IF(E40&gt;'Building Info &amp; Assumptions'!$E$61,E40,0)</f>
        <v>25000000</v>
      </c>
      <c r="G40" s="1131">
        <f>IF(E40&lt;'Building Info &amp; Assumptions'!$E$61,E40,0)</f>
        <v>0</v>
      </c>
      <c r="H40" s="1127" t="s">
        <v>376</v>
      </c>
      <c r="I40" s="1128">
        <v>8</v>
      </c>
      <c r="J40" s="4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row>
    <row r="41" spans="1:142" s="106" customFormat="1" ht="15.95" outlineLevel="1">
      <c r="A41" s="45"/>
      <c r="B41" s="1152" t="s">
        <v>544</v>
      </c>
      <c r="C41" s="1154" t="s">
        <v>499</v>
      </c>
      <c r="D41" s="1131">
        <f>IF(C41="",0, IFERROR(INDEX('Narrative &amp; Measures'!$C$28:$C$67,MATCH(C41,'Narrative &amp; Measures'!$A$28:$A$67,0)),0))</f>
        <v>-130000</v>
      </c>
      <c r="E41" s="1131">
        <f>IF(C41="",0, IFERROR(INDEX('Narrative &amp; Measures'!$U$28:$U$67,MATCH(C41,'Narrative &amp; Measures'!$A$28:$A$67,0)),0))</f>
        <v>200000</v>
      </c>
      <c r="F41" s="1131">
        <f>IF(E41&gt;'Building Info &amp; Assumptions'!$E$61,E41,0)</f>
        <v>200000</v>
      </c>
      <c r="G41" s="1131">
        <f>IF(E41&lt;'Building Info &amp; Assumptions'!$E$61,E41,0)</f>
        <v>0</v>
      </c>
      <c r="H41" s="1127" t="s">
        <v>376</v>
      </c>
      <c r="I41" s="1128">
        <v>5</v>
      </c>
      <c r="J41" s="4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row>
    <row r="42" spans="1:142" s="106" customFormat="1" ht="15.95" outlineLevel="1">
      <c r="A42" s="45"/>
      <c r="B42" s="1152" t="s">
        <v>545</v>
      </c>
      <c r="C42" s="1154" t="s">
        <v>503</v>
      </c>
      <c r="D42" s="1131">
        <f>IF(C42="",0, IFERROR(INDEX('Narrative &amp; Measures'!$C$28:$C$67,MATCH(C42,'Narrative &amp; Measures'!$A$28:$A$67,0)),0))</f>
        <v>85000</v>
      </c>
      <c r="E42" s="1131">
        <f>IF(C42="",0, IFERROR(INDEX('Narrative &amp; Measures'!$U$28:$U$67,MATCH(C42,'Narrative &amp; Measures'!$A$28:$A$67,0)),0))</f>
        <v>1500000</v>
      </c>
      <c r="F42" s="1131">
        <f>IF(E42&gt;'Building Info &amp; Assumptions'!$E$61,E42,0)</f>
        <v>1500000</v>
      </c>
      <c r="G42" s="1131">
        <f>IF(E42&lt;'Building Info &amp; Assumptions'!$E$61,E42,0)</f>
        <v>0</v>
      </c>
      <c r="H42" s="1127" t="s">
        <v>400</v>
      </c>
      <c r="I42" s="1128">
        <v>2</v>
      </c>
      <c r="J42" s="4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row>
    <row r="43" spans="1:142" s="106" customFormat="1" ht="15.95" outlineLevel="1">
      <c r="A43" s="45"/>
      <c r="B43" s="1152" t="s">
        <v>546</v>
      </c>
      <c r="C43" s="1154" t="s">
        <v>501</v>
      </c>
      <c r="D43" s="1131">
        <f>IF(C43="",0, IFERROR(INDEX('Narrative &amp; Measures'!$C$28:$C$67,MATCH(C43,'Narrative &amp; Measures'!$A$28:$A$67,0)),0))</f>
        <v>0</v>
      </c>
      <c r="E43" s="1131">
        <f>IF(C43="",0, IFERROR(INDEX('Narrative &amp; Measures'!$U$28:$U$67,MATCH(C43,'Narrative &amp; Measures'!$A$28:$A$67,0)),0))</f>
        <v>1500000</v>
      </c>
      <c r="F43" s="1131">
        <f>IF(E43&gt;'Building Info &amp; Assumptions'!$E$61,E43,0)</f>
        <v>1500000</v>
      </c>
      <c r="G43" s="1131">
        <f>IF(E43&lt;'Building Info &amp; Assumptions'!$E$61,E43,0)</f>
        <v>0</v>
      </c>
      <c r="H43" s="1127" t="s">
        <v>400</v>
      </c>
      <c r="I43" s="1128">
        <v>5</v>
      </c>
      <c r="J43" s="4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row>
    <row r="44" spans="1:142" s="106" customFormat="1" ht="15.95" outlineLevel="1">
      <c r="A44" s="45"/>
      <c r="B44" s="1152" t="s">
        <v>547</v>
      </c>
      <c r="C44" s="1154" t="s">
        <v>502</v>
      </c>
      <c r="D44" s="1131">
        <f>IF(C44="",0, IFERROR(INDEX('Narrative &amp; Measures'!$C$28:$C$67,MATCH(C44,'Narrative &amp; Measures'!$A$28:$A$67,0)),0))</f>
        <v>65000</v>
      </c>
      <c r="E44" s="1131">
        <f>IF(C44="",0, IFERROR(INDEX('Narrative &amp; Measures'!$U$28:$U$67,MATCH(C44,'Narrative &amp; Measures'!$A$28:$A$67,0)),0))</f>
        <v>500000</v>
      </c>
      <c r="F44" s="1131">
        <f>IF(E44&gt;'Building Info &amp; Assumptions'!$E$61,E44,0)</f>
        <v>500000</v>
      </c>
      <c r="G44" s="1131">
        <f>IF(E44&lt;'Building Info &amp; Assumptions'!$E$61,E44,0)</f>
        <v>0</v>
      </c>
      <c r="H44" s="1127" t="s">
        <v>400</v>
      </c>
      <c r="I44" s="1128">
        <v>1</v>
      </c>
      <c r="J44" s="4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row>
    <row r="45" spans="1:142" s="106" customFormat="1" ht="15.95" outlineLevel="1">
      <c r="A45" s="45"/>
      <c r="B45" s="1152" t="s">
        <v>548</v>
      </c>
      <c r="C45" s="1154" t="s">
        <v>505</v>
      </c>
      <c r="D45" s="1131">
        <f>IF(C45="",0, IFERROR(INDEX('Narrative &amp; Measures'!$C$28:$C$67,MATCH(C45,'Narrative &amp; Measures'!$A$28:$A$67,0)),0))</f>
        <v>25000</v>
      </c>
      <c r="E45" s="1131">
        <f>IF(C45="",0, IFERROR(INDEX('Narrative &amp; Measures'!$U$28:$U$67,MATCH(C45,'Narrative &amp; Measures'!$A$28:$A$67,0)),0))</f>
        <v>200000</v>
      </c>
      <c r="F45" s="1131">
        <f>IF(E45&gt;'Building Info &amp; Assumptions'!$E$61,E45,0)</f>
        <v>200000</v>
      </c>
      <c r="G45" s="1131">
        <f>IF(E45&lt;'Building Info &amp; Assumptions'!$E$61,E45,0)</f>
        <v>0</v>
      </c>
      <c r="H45" s="1127" t="s">
        <v>376</v>
      </c>
      <c r="I45" s="1128">
        <v>1</v>
      </c>
      <c r="J45" s="4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row>
    <row r="46" spans="1:142" s="106" customFormat="1" ht="15.95" outlineLevel="1">
      <c r="A46" s="45"/>
      <c r="B46" s="1152" t="s">
        <v>549</v>
      </c>
      <c r="C46" s="1154" t="s">
        <v>506</v>
      </c>
      <c r="D46" s="1131">
        <f>IF(C46="",0, IFERROR(INDEX('Narrative &amp; Measures'!$C$28:$C$67,MATCH(C46,'Narrative &amp; Measures'!$A$28:$A$67,0)),0))</f>
        <v>15000</v>
      </c>
      <c r="E46" s="1131">
        <f>IF(C46="",0, IFERROR(INDEX('Narrative &amp; Measures'!$U$28:$U$67,MATCH(C46,'Narrative &amp; Measures'!$A$28:$A$67,0)),0))</f>
        <v>0</v>
      </c>
      <c r="F46" s="1131">
        <f>IF(E46&gt;'Building Info &amp; Assumptions'!$E$61,E46,0)</f>
        <v>0</v>
      </c>
      <c r="G46" s="1131">
        <f>IF(E46&lt;'Building Info &amp; Assumptions'!$E$61,E46,0)</f>
        <v>0</v>
      </c>
      <c r="H46" s="1127" t="s">
        <v>400</v>
      </c>
      <c r="I46" s="1128">
        <v>1</v>
      </c>
      <c r="J46" s="4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row>
    <row r="47" spans="1:142" s="106" customFormat="1" outlineLevel="1">
      <c r="A47" s="45"/>
      <c r="B47" s="1152" t="s">
        <v>550</v>
      </c>
      <c r="C47" s="1154"/>
      <c r="D47" s="1131">
        <f>IF(C47="",0, IFERROR(INDEX('Narrative &amp; Measures'!$C$28:$C$67,MATCH(C47,'Narrative &amp; Measures'!$A$28:$A$67,0)),0))</f>
        <v>0</v>
      </c>
      <c r="E47" s="1131">
        <f>IF(C47="",0, IFERROR(INDEX('Narrative &amp; Measures'!$U$28:$U$67,MATCH(C47,'Narrative &amp; Measures'!$A$28:$A$67,0)),0))</f>
        <v>0</v>
      </c>
      <c r="F47" s="1131">
        <f>IF(E47&gt;'Building Info &amp; Assumptions'!$E$61,E47,0)</f>
        <v>0</v>
      </c>
      <c r="G47" s="1131">
        <f>IF(E47&lt;'Building Info &amp; Assumptions'!$E$61,E47,0)</f>
        <v>0</v>
      </c>
      <c r="H47" s="1127"/>
      <c r="I47" s="1128"/>
      <c r="J47" s="4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row>
    <row r="48" spans="1:142" s="106" customFormat="1" outlineLevel="1">
      <c r="A48" s="45"/>
      <c r="B48" s="1152" t="s">
        <v>551</v>
      </c>
      <c r="C48" s="1154"/>
      <c r="D48" s="1131">
        <f>IF(C48="",0, IFERROR(INDEX('Narrative &amp; Measures'!$C$28:$C$67,MATCH(C48,'Narrative &amp; Measures'!$A$28:$A$67,0)),0))</f>
        <v>0</v>
      </c>
      <c r="E48" s="1131">
        <f>IF(C48="",0, IFERROR(INDEX('Narrative &amp; Measures'!$U$28:$U$67,MATCH(C48,'Narrative &amp; Measures'!$A$28:$A$67,0)),0))</f>
        <v>0</v>
      </c>
      <c r="F48" s="1131">
        <f>IF(E48&gt;'Building Info &amp; Assumptions'!$E$61,E48,0)</f>
        <v>0</v>
      </c>
      <c r="G48" s="1131">
        <f>IF(E48&lt;'Building Info &amp; Assumptions'!$E$61,E48,0)</f>
        <v>0</v>
      </c>
      <c r="H48" s="1127"/>
      <c r="I48" s="1128"/>
      <c r="J48" s="4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row>
    <row r="49" spans="1:142" s="106" customFormat="1" outlineLevel="1">
      <c r="A49" s="45"/>
      <c r="B49" s="1152" t="s">
        <v>552</v>
      </c>
      <c r="C49" s="1154"/>
      <c r="D49" s="1131">
        <f>IF(C49="",0, IFERROR(INDEX('Narrative &amp; Measures'!$C$28:$C$67,MATCH(C49,'Narrative &amp; Measures'!$A$28:$A$67,0)),0))</f>
        <v>0</v>
      </c>
      <c r="E49" s="1131">
        <f>IF(C49="",0, IFERROR(INDEX('Narrative &amp; Measures'!$U$28:$U$67,MATCH(C49,'Narrative &amp; Measures'!$A$28:$A$67,0)),0))</f>
        <v>0</v>
      </c>
      <c r="F49" s="1131">
        <f>IF(E49&gt;'Building Info &amp; Assumptions'!$E$61,E49,0)</f>
        <v>0</v>
      </c>
      <c r="G49" s="1131">
        <f>IF(E49&lt;'Building Info &amp; Assumptions'!$E$61,E49,0)</f>
        <v>0</v>
      </c>
      <c r="H49" s="1127"/>
      <c r="I49" s="1128"/>
      <c r="J49" s="4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row>
    <row r="50" spans="1:142" s="106" customFormat="1" outlineLevel="1">
      <c r="A50" s="45"/>
      <c r="B50" s="1152" t="s">
        <v>553</v>
      </c>
      <c r="C50" s="1154"/>
      <c r="D50" s="1131">
        <f>IF(C50="",0, IFERROR(INDEX('Narrative &amp; Measures'!$C$28:$C$67,MATCH(C50,'Narrative &amp; Measures'!$A$28:$A$67,0)),0))</f>
        <v>0</v>
      </c>
      <c r="E50" s="1131">
        <f>IF(C50="",0, IFERROR(INDEX('Narrative &amp; Measures'!$U$28:$U$67,MATCH(C50,'Narrative &amp; Measures'!$A$28:$A$67,0)),0))</f>
        <v>0</v>
      </c>
      <c r="F50" s="1131">
        <f>IF(E50&gt;'Building Info &amp; Assumptions'!$E$61,E50,0)</f>
        <v>0</v>
      </c>
      <c r="G50" s="1131">
        <f>IF(E50&lt;'Building Info &amp; Assumptions'!$E$61,E50,0)</f>
        <v>0</v>
      </c>
      <c r="H50" s="1127"/>
      <c r="I50" s="1128"/>
      <c r="J50" s="4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row>
    <row r="51" spans="1:142" s="106" customFormat="1" outlineLevel="1">
      <c r="A51" s="45"/>
      <c r="B51" s="1152" t="s">
        <v>554</v>
      </c>
      <c r="C51" s="1154"/>
      <c r="D51" s="1131">
        <f>IF(C51="",0, IFERROR(INDEX('Narrative &amp; Measures'!$C$28:$C$67,MATCH(C51,'Narrative &amp; Measures'!$A$28:$A$67,0)),0))</f>
        <v>0</v>
      </c>
      <c r="E51" s="1131">
        <f>IF(C51="",0, IFERROR(INDEX('Narrative &amp; Measures'!$U$28:$U$67,MATCH(C51,'Narrative &amp; Measures'!$A$28:$A$67,0)),0))</f>
        <v>0</v>
      </c>
      <c r="F51" s="1131">
        <f>IF(E51&gt;'Building Info &amp; Assumptions'!$E$61,E51,0)</f>
        <v>0</v>
      </c>
      <c r="G51" s="1131">
        <f>IF(E51&lt;'Building Info &amp; Assumptions'!$E$61,E51,0)</f>
        <v>0</v>
      </c>
      <c r="H51" s="1127"/>
      <c r="I51" s="1128"/>
      <c r="J51" s="4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row>
    <row r="52" spans="1:142" s="106" customFormat="1" outlineLevel="1">
      <c r="A52" s="45"/>
      <c r="B52" s="1152" t="s">
        <v>555</v>
      </c>
      <c r="C52" s="1154"/>
      <c r="D52" s="1131">
        <f>IF(C52="",0, IFERROR(INDEX('Narrative &amp; Measures'!$C$28:$C$67,MATCH(C52,'Narrative &amp; Measures'!$A$28:$A$67,0)),0))</f>
        <v>0</v>
      </c>
      <c r="E52" s="1131">
        <f>IF(C52="",0, IFERROR(INDEX('Narrative &amp; Measures'!$U$28:$U$67,MATCH(C52,'Narrative &amp; Measures'!$A$28:$A$67,0)),0))</f>
        <v>0</v>
      </c>
      <c r="F52" s="1131">
        <f>IF(E52&gt;'Building Info &amp; Assumptions'!$E$61,E52,0)</f>
        <v>0</v>
      </c>
      <c r="G52" s="1131">
        <f>IF(E52&lt;'Building Info &amp; Assumptions'!$E$61,E52,0)</f>
        <v>0</v>
      </c>
      <c r="H52" s="1127"/>
      <c r="I52" s="1128"/>
      <c r="J52" s="4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row>
    <row r="53" spans="1:142" s="106" customFormat="1" outlineLevel="1">
      <c r="A53" s="45"/>
      <c r="B53" s="1152" t="s">
        <v>556</v>
      </c>
      <c r="C53" s="1154"/>
      <c r="D53" s="1131">
        <f>IF(C53="",0, IFERROR(INDEX('Narrative &amp; Measures'!$C$28:$C$67,MATCH(C53,'Narrative &amp; Measures'!$A$28:$A$67,0)),0))</f>
        <v>0</v>
      </c>
      <c r="E53" s="1131">
        <f>IF(C53="",0, IFERROR(INDEX('Narrative &amp; Measures'!$U$28:$U$67,MATCH(C53,'Narrative &amp; Measures'!$A$28:$A$67,0)),0))</f>
        <v>0</v>
      </c>
      <c r="F53" s="1131">
        <f>IF(E53&gt;'Building Info &amp; Assumptions'!$E$61,E53,0)</f>
        <v>0</v>
      </c>
      <c r="G53" s="1131">
        <f>IF(E53&lt;'Building Info &amp; Assumptions'!$E$61,E53,0)</f>
        <v>0</v>
      </c>
      <c r="H53" s="1127"/>
      <c r="I53" s="1128"/>
      <c r="J53" s="4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row>
    <row r="54" spans="1:142" s="106" customFormat="1" outlineLevel="1">
      <c r="A54" s="45"/>
      <c r="B54" s="1152" t="s">
        <v>557</v>
      </c>
      <c r="C54" s="1154"/>
      <c r="D54" s="1131">
        <f>IF(C54="",0, IFERROR(INDEX('Narrative &amp; Measures'!$C$28:$C$67,MATCH(C54,'Narrative &amp; Measures'!$A$28:$A$67,0)),0))</f>
        <v>0</v>
      </c>
      <c r="E54" s="1131">
        <f>IF(C54="",0, IFERROR(INDEX('Narrative &amp; Measures'!$U$28:$U$67,MATCH(C54,'Narrative &amp; Measures'!$A$28:$A$67,0)),0))</f>
        <v>0</v>
      </c>
      <c r="F54" s="1131">
        <f>IF(E54&gt;'Building Info &amp; Assumptions'!$E$61,E54,0)</f>
        <v>0</v>
      </c>
      <c r="G54" s="1131">
        <f>IF(E54&lt;'Building Info &amp; Assumptions'!$E$61,E54,0)</f>
        <v>0</v>
      </c>
      <c r="H54" s="1127"/>
      <c r="I54" s="1128"/>
      <c r="J54" s="4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row>
    <row r="55" spans="1:142" s="106" customFormat="1" outlineLevel="1">
      <c r="A55" s="45"/>
      <c r="B55" s="1152" t="s">
        <v>558</v>
      </c>
      <c r="C55" s="1154"/>
      <c r="D55" s="1131">
        <f>IF(C55="",0, IFERROR(INDEX('Narrative &amp; Measures'!$C$28:$C$67,MATCH(C55,'Narrative &amp; Measures'!$A$28:$A$67,0)),0))</f>
        <v>0</v>
      </c>
      <c r="E55" s="1131">
        <f>IF(C55="",0, IFERROR(INDEX('Narrative &amp; Measures'!$U$28:$U$67,MATCH(C55,'Narrative &amp; Measures'!$A$28:$A$67,0)),0))</f>
        <v>0</v>
      </c>
      <c r="F55" s="1131">
        <f>IF(E55&gt;'Building Info &amp; Assumptions'!$E$61,E55,0)</f>
        <v>0</v>
      </c>
      <c r="G55" s="1131">
        <f>IF(E55&lt;'Building Info &amp; Assumptions'!$E$61,E55,0)</f>
        <v>0</v>
      </c>
      <c r="H55" s="1155"/>
      <c r="I55" s="1128"/>
      <c r="J55" s="4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row>
    <row r="56" spans="1:142" s="106" customFormat="1" outlineLevel="1">
      <c r="A56" s="45"/>
      <c r="B56" s="1152" t="s">
        <v>559</v>
      </c>
      <c r="C56" s="1154"/>
      <c r="D56" s="1131">
        <f>IF(C56="",0, IFERROR(INDEX('Narrative &amp; Measures'!$C$28:$C$67,MATCH(C56,'Narrative &amp; Measures'!$A$28:$A$67,0)),0))</f>
        <v>0</v>
      </c>
      <c r="E56" s="1131">
        <f>IF(C56="",0, IFERROR(INDEX('Narrative &amp; Measures'!$U$28:$U$67,MATCH(C56,'Narrative &amp; Measures'!$A$28:$A$67,0)),0))</f>
        <v>0</v>
      </c>
      <c r="F56" s="1131">
        <f>IF(E56&gt;'Building Info &amp; Assumptions'!$E$61,E56,0)</f>
        <v>0</v>
      </c>
      <c r="G56" s="1131">
        <f>IF(E56&lt;'Building Info &amp; Assumptions'!$E$61,E56,0)</f>
        <v>0</v>
      </c>
      <c r="H56" s="729"/>
      <c r="I56" s="1128"/>
      <c r="J56" s="4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row>
    <row r="57" spans="1:142" s="106" customFormat="1" ht="15.95" outlineLevel="1" thickBot="1">
      <c r="A57" s="45"/>
      <c r="B57" s="1156" t="s">
        <v>560</v>
      </c>
      <c r="C57" s="1157"/>
      <c r="D57" s="1158">
        <f>IF(C57="",0, IFERROR(INDEX('Narrative &amp; Measures'!$C$28:$C$67,MATCH(C57,'Narrative &amp; Measures'!$A$28:$A$67,0)),0))</f>
        <v>0</v>
      </c>
      <c r="E57" s="1158">
        <f>IF(C57="",0, IFERROR(INDEX('Narrative &amp; Measures'!$U$28:$U$67,MATCH(C57,'Narrative &amp; Measures'!$A$28:$A$67,0)),0))</f>
        <v>0</v>
      </c>
      <c r="F57" s="1158">
        <f>IF(E57&gt;'Building Info &amp; Assumptions'!$E$61,E57,0)</f>
        <v>0</v>
      </c>
      <c r="G57" s="1158">
        <f>IF(E57&lt;'Building Info &amp; Assumptions'!$E$61,E57,0)</f>
        <v>0</v>
      </c>
      <c r="H57" s="728"/>
      <c r="I57" s="1159"/>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row>
    <row r="58" spans="1:142" s="106" customFormat="1" ht="17.100000000000001" thickBot="1">
      <c r="A58" s="45"/>
      <c r="B58" s="770" t="s">
        <v>400</v>
      </c>
      <c r="C58" s="1160" t="s">
        <v>561</v>
      </c>
      <c r="D58" s="1161">
        <v>0</v>
      </c>
      <c r="E58" s="1161">
        <v>0</v>
      </c>
      <c r="F58" s="1161">
        <v>0</v>
      </c>
      <c r="G58" s="1161">
        <f>IF(B58="No",0,AVERAGE('Operating Statements'!$B$151:$U$151))</f>
        <v>34736.017667972344</v>
      </c>
      <c r="H58" s="1162"/>
      <c r="I58" s="1163">
        <v>1</v>
      </c>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row>
    <row r="59" spans="1:142" s="106" customFormat="1">
      <c r="A59" s="45"/>
      <c r="B59" s="489" t="s">
        <v>536</v>
      </c>
      <c r="C59" s="477" t="s">
        <v>562</v>
      </c>
      <c r="D59" s="490">
        <f t="shared" ref="D59" si="0">SUM(D38:D58)</f>
        <v>2232000</v>
      </c>
      <c r="E59" s="490">
        <f>SUM(E38:E58)</f>
        <v>33900000</v>
      </c>
      <c r="F59" s="490">
        <f>SUM(F38:F58)</f>
        <v>33900000</v>
      </c>
      <c r="G59" s="490">
        <f>SUM(G38:G58)</f>
        <v>34736.017667972344</v>
      </c>
      <c r="H59" s="700"/>
      <c r="I59" s="491"/>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row>
    <row r="60" spans="1:142" s="45" customFormat="1">
      <c r="B60" s="429"/>
      <c r="C60" s="46"/>
      <c r="D60" s="459"/>
      <c r="E60" s="459"/>
      <c r="F60" s="459"/>
      <c r="G60" s="459"/>
      <c r="H60" s="459"/>
      <c r="I60" s="460"/>
    </row>
    <row r="61" spans="1:142" s="45" customFormat="1">
      <c r="B61" s="429"/>
      <c r="C61" s="46"/>
      <c r="D61" s="46"/>
      <c r="E61" s="461"/>
      <c r="F61" s="46"/>
      <c r="G61" s="46"/>
      <c r="H61" s="46"/>
      <c r="I61" s="705"/>
    </row>
    <row r="62" spans="1:142" s="106" customFormat="1" ht="176.1">
      <c r="A62" s="45"/>
      <c r="B62" s="1164" t="s">
        <v>563</v>
      </c>
      <c r="C62" s="1165" t="str">
        <f>"ECM Alternative 2: "&amp;'Narrative &amp; Measures'!G14</f>
        <v>ECM Alternative 2: Phased Basic Electrification with Basic Efficiency Upgrades and Tenant Participation - 
This option replaces with less efficient but cheaper electric options for heating and basic cooling. Steam is retained for backup. Some basic efficiency measures, and heat recovery technologies, reduce overall plant size.
Cooling: Partial replacement of centrifugal chillers with highly efficient at end of useful life. Add heat recovery chillers to take advantage of simultaneous heating and cooling. 
Heating/DHW: Provide heating hot water by replacing steam heat exchanger with electric boilers at required temperature for hot water coils (180F). Add heat pump water heating to existing domestic hot water storage tanks.
Distribution: Basic efficiency measures. No HHW coil conversion.</v>
      </c>
      <c r="D62" s="1137" t="s">
        <v>3</v>
      </c>
      <c r="E62" s="302" t="s">
        <v>4</v>
      </c>
      <c r="F62" s="1166" t="s">
        <v>5</v>
      </c>
      <c r="G62" s="1140" t="s">
        <v>6</v>
      </c>
      <c r="H62" s="1141" t="s">
        <v>522</v>
      </c>
      <c r="I62" s="249" t="s">
        <v>540</v>
      </c>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row>
    <row r="63" spans="1:142" s="106" customFormat="1" ht="15.95" outlineLevel="1">
      <c r="A63" s="45"/>
      <c r="B63" s="1152" t="s">
        <v>541</v>
      </c>
      <c r="C63" s="1153" t="s">
        <v>496</v>
      </c>
      <c r="D63" s="1133">
        <f>IF(C63="",0, IFERROR(INDEX('Narrative &amp; Measures'!$C$28:$C$67,MATCH(C63,'Narrative &amp; Measures'!$A$28:$A$67,0)),0))</f>
        <v>42000</v>
      </c>
      <c r="E63" s="1133">
        <f>IF(C63="",0, IFERROR(INDEX('Narrative &amp; Measures'!$U$28:$U$67,MATCH(C63,'Narrative &amp; Measures'!$A$28:$A$67,0)),0))</f>
        <v>2000000</v>
      </c>
      <c r="F63" s="1133">
        <f>IF(E63&gt;'Building Info &amp; Assumptions'!$E$61,E63,0)</f>
        <v>2000000</v>
      </c>
      <c r="G63" s="1133">
        <f>IF(E63&lt;'Building Info &amp; Assumptions'!$E$61,E63,0)</f>
        <v>0</v>
      </c>
      <c r="H63" s="1127" t="s">
        <v>376</v>
      </c>
      <c r="I63" s="1134">
        <v>8</v>
      </c>
      <c r="J63" s="4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row>
    <row r="64" spans="1:142" s="106" customFormat="1" ht="15.95" outlineLevel="1">
      <c r="A64" s="45"/>
      <c r="B64" s="1152" t="s">
        <v>542</v>
      </c>
      <c r="C64" s="1154" t="s">
        <v>497</v>
      </c>
      <c r="D64" s="1131">
        <f>IF(C64="",0, IFERROR(INDEX('Narrative &amp; Measures'!$C$28:$C$67,MATCH(C64,'Narrative &amp; Measures'!$A$28:$A$67,0)),0))</f>
        <v>260000</v>
      </c>
      <c r="E64" s="1131">
        <f>IF(C64="",0, IFERROR(INDEX('Narrative &amp; Measures'!$U$28:$U$67,MATCH(C64,'Narrative &amp; Measures'!$A$28:$A$67,0)),0))</f>
        <v>3000000</v>
      </c>
      <c r="F64" s="1131">
        <f>IF(E64&gt;'Building Info &amp; Assumptions'!$E$61,E64,0)</f>
        <v>3000000</v>
      </c>
      <c r="G64" s="1131">
        <f>IF(E64&lt;'Building Info &amp; Assumptions'!$E$61,E64,0)</f>
        <v>0</v>
      </c>
      <c r="H64" s="1127" t="s">
        <v>376</v>
      </c>
      <c r="I64" s="1128">
        <v>4</v>
      </c>
      <c r="J64" s="4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row>
    <row r="65" spans="1:142" s="106" customFormat="1" ht="15.95" outlineLevel="1">
      <c r="A65" s="45"/>
      <c r="B65" s="1152" t="s">
        <v>543</v>
      </c>
      <c r="C65" s="1154" t="s">
        <v>500</v>
      </c>
      <c r="D65" s="1131">
        <f>IF(C65="",0, IFERROR(INDEX('Narrative &amp; Measures'!$C$28:$C$67,MATCH(C65,'Narrative &amp; Measures'!$A$28:$A$67,0)),0))</f>
        <v>400000</v>
      </c>
      <c r="E65" s="1131">
        <f>IF(C65="",0, IFERROR(INDEX('Narrative &amp; Measures'!$U$28:$U$67,MATCH(C65,'Narrative &amp; Measures'!$A$28:$A$67,0)),0))</f>
        <v>2000000</v>
      </c>
      <c r="F65" s="1131">
        <f>IF(E65&gt;'Building Info &amp; Assumptions'!$E$61,E65,0)</f>
        <v>2000000</v>
      </c>
      <c r="G65" s="1131">
        <f>IF(E65&lt;'Building Info &amp; Assumptions'!$E$61,E65,0)</f>
        <v>0</v>
      </c>
      <c r="H65" s="1127" t="s">
        <v>376</v>
      </c>
      <c r="I65" s="1128">
        <v>8</v>
      </c>
      <c r="J65" s="4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row>
    <row r="66" spans="1:142" s="106" customFormat="1" ht="15.95" outlineLevel="1">
      <c r="A66" s="45"/>
      <c r="B66" s="1152" t="s">
        <v>544</v>
      </c>
      <c r="C66" s="1154" t="s">
        <v>503</v>
      </c>
      <c r="D66" s="1131">
        <f>IF(C66="",0, IFERROR(INDEX('Narrative &amp; Measures'!$C$28:$C$67,MATCH(C66,'Narrative &amp; Measures'!$A$28:$A$67,0)),0))</f>
        <v>85000</v>
      </c>
      <c r="E66" s="1131">
        <f>IF(C66="",0, IFERROR(INDEX('Narrative &amp; Measures'!$U$28:$U$67,MATCH(C66,'Narrative &amp; Measures'!$A$28:$A$67,0)),0))</f>
        <v>1500000</v>
      </c>
      <c r="F66" s="1131">
        <f>IF(E66&gt;'Building Info &amp; Assumptions'!$E$61,E66,0)</f>
        <v>1500000</v>
      </c>
      <c r="G66" s="1131">
        <f>IF(E66&lt;'Building Info &amp; Assumptions'!$E$61,E66,0)</f>
        <v>0</v>
      </c>
      <c r="H66" s="1127" t="s">
        <v>400</v>
      </c>
      <c r="I66" s="1128">
        <v>2</v>
      </c>
      <c r="J66" s="4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row>
    <row r="67" spans="1:142" s="106" customFormat="1" ht="15.95" outlineLevel="1">
      <c r="A67" s="45"/>
      <c r="B67" s="1152" t="s">
        <v>545</v>
      </c>
      <c r="C67" s="1154" t="s">
        <v>502</v>
      </c>
      <c r="D67" s="1131">
        <f>IF(C67="",0, IFERROR(INDEX('Narrative &amp; Measures'!$C$28:$C$67,MATCH(C67,'Narrative &amp; Measures'!$A$28:$A$67,0)),0))</f>
        <v>65000</v>
      </c>
      <c r="E67" s="1131">
        <f>IF(C67="",0, IFERROR(INDEX('Narrative &amp; Measures'!$U$28:$U$67,MATCH(C67,'Narrative &amp; Measures'!$A$28:$A$67,0)),0))</f>
        <v>500000</v>
      </c>
      <c r="F67" s="1131">
        <f>IF(E67&gt;'Building Info &amp; Assumptions'!$E$61,E67,0)</f>
        <v>500000</v>
      </c>
      <c r="G67" s="1131">
        <f>IF(E67&lt;'Building Info &amp; Assumptions'!$E$61,E67,0)</f>
        <v>0</v>
      </c>
      <c r="H67" s="1127" t="s">
        <v>400</v>
      </c>
      <c r="I67" s="1128">
        <v>1</v>
      </c>
      <c r="J67" s="4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row>
    <row r="68" spans="1:142" s="106" customFormat="1" ht="15.95" outlineLevel="1">
      <c r="A68" s="45"/>
      <c r="B68" s="1152" t="s">
        <v>546</v>
      </c>
      <c r="C68" s="1154" t="s">
        <v>505</v>
      </c>
      <c r="D68" s="1131">
        <f>IF(C68="",0, IFERROR(INDEX('Narrative &amp; Measures'!$C$28:$C$67,MATCH(C68,'Narrative &amp; Measures'!$A$28:$A$67,0)),0))</f>
        <v>25000</v>
      </c>
      <c r="E68" s="1131">
        <f>IF(C68="",0, IFERROR(INDEX('Narrative &amp; Measures'!$U$28:$U$67,MATCH(C68,'Narrative &amp; Measures'!$A$28:$A$67,0)),0))</f>
        <v>200000</v>
      </c>
      <c r="F68" s="1131">
        <f>IF(E68&gt;'Building Info &amp; Assumptions'!$E$61,E68,0)</f>
        <v>200000</v>
      </c>
      <c r="G68" s="1131">
        <f>IF(E68&lt;'Building Info &amp; Assumptions'!$E$61,E68,0)</f>
        <v>0</v>
      </c>
      <c r="H68" s="1127" t="s">
        <v>376</v>
      </c>
      <c r="I68" s="1128">
        <v>2</v>
      </c>
      <c r="J68" s="4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row>
    <row r="69" spans="1:142" s="106" customFormat="1" ht="15.95" outlineLevel="1">
      <c r="A69" s="45"/>
      <c r="B69" s="1152" t="s">
        <v>547</v>
      </c>
      <c r="C69" s="1154" t="s">
        <v>506</v>
      </c>
      <c r="D69" s="1131">
        <f>IF(C69="",0, IFERROR(INDEX('Narrative &amp; Measures'!$C$28:$C$67,MATCH(C69,'Narrative &amp; Measures'!$A$28:$A$67,0)),0))</f>
        <v>15000</v>
      </c>
      <c r="E69" s="1131">
        <f>IF(C69="",0, IFERROR(INDEX('Narrative &amp; Measures'!$U$28:$U$67,MATCH(C69,'Narrative &amp; Measures'!$A$28:$A$67,0)),0))</f>
        <v>0</v>
      </c>
      <c r="F69" s="1131">
        <f>IF(E69&gt;'Building Info &amp; Assumptions'!$E$61,E69,0)</f>
        <v>0</v>
      </c>
      <c r="G69" s="1131">
        <f>IF(E69&lt;'Building Info &amp; Assumptions'!$E$61,E69,0)</f>
        <v>0</v>
      </c>
      <c r="H69" s="1127" t="s">
        <v>400</v>
      </c>
      <c r="I69" s="1128">
        <v>1</v>
      </c>
      <c r="J69" s="4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row>
    <row r="70" spans="1:142" s="106" customFormat="1" outlineLevel="1">
      <c r="A70" s="45"/>
      <c r="B70" s="1152" t="s">
        <v>548</v>
      </c>
      <c r="C70" s="1154"/>
      <c r="D70" s="1131">
        <f>IF(C70="",0, IFERROR(INDEX('Narrative &amp; Measures'!$C$28:$C$67,MATCH(C70,'Narrative &amp; Measures'!$A$28:$A$67,0)),0))</f>
        <v>0</v>
      </c>
      <c r="E70" s="1131">
        <f>IF(C70="",0, IFERROR(INDEX('Narrative &amp; Measures'!$U$28:$U$67,MATCH(C70,'Narrative &amp; Measures'!$A$28:$A$67,0)),0))</f>
        <v>0</v>
      </c>
      <c r="F70" s="1131">
        <f>IF(E70&gt;'Building Info &amp; Assumptions'!$E$61,E70,0)</f>
        <v>0</v>
      </c>
      <c r="G70" s="1131">
        <f>IF(E70&lt;'Building Info &amp; Assumptions'!$E$61,E70,0)</f>
        <v>0</v>
      </c>
      <c r="H70" s="1127"/>
      <c r="I70" s="1128"/>
      <c r="J70" s="4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row>
    <row r="71" spans="1:142" s="106" customFormat="1" outlineLevel="1">
      <c r="A71" s="45"/>
      <c r="B71" s="1152" t="s">
        <v>549</v>
      </c>
      <c r="C71" s="1154"/>
      <c r="D71" s="1131">
        <f>IF(C71="",0, IFERROR(INDEX('Narrative &amp; Measures'!$C$28:$C$67,MATCH(C71,'Narrative &amp; Measures'!$A$28:$A$67,0)),0))</f>
        <v>0</v>
      </c>
      <c r="E71" s="1131">
        <f>IF(C71="",0, IFERROR(INDEX('Narrative &amp; Measures'!$U$28:$U$67,MATCH(C71,'Narrative &amp; Measures'!$A$28:$A$67,0)),0))</f>
        <v>0</v>
      </c>
      <c r="F71" s="1131">
        <f>IF(E71&gt;'Building Info &amp; Assumptions'!$E$61,E71,0)</f>
        <v>0</v>
      </c>
      <c r="G71" s="1131">
        <f>IF(E71&lt;'Building Info &amp; Assumptions'!$E$61,E71,0)</f>
        <v>0</v>
      </c>
      <c r="H71" s="1127"/>
      <c r="I71" s="1128"/>
      <c r="J71" s="4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row>
    <row r="72" spans="1:142" s="106" customFormat="1" outlineLevel="1">
      <c r="A72" s="45"/>
      <c r="B72" s="1152" t="s">
        <v>550</v>
      </c>
      <c r="C72" s="1154"/>
      <c r="D72" s="1131">
        <f>IF(C72="",0, IFERROR(INDEX('Narrative &amp; Measures'!$C$28:$C$67,MATCH(C72,'Narrative &amp; Measures'!$A$28:$A$67,0)),0))</f>
        <v>0</v>
      </c>
      <c r="E72" s="1131">
        <f>IF(C72="",0, IFERROR(INDEX('Narrative &amp; Measures'!$U$28:$U$67,MATCH(C72,'Narrative &amp; Measures'!$A$28:$A$67,0)),0))</f>
        <v>0</v>
      </c>
      <c r="F72" s="1131">
        <f>IF(E72&gt;'Building Info &amp; Assumptions'!$E$61,E72,0)</f>
        <v>0</v>
      </c>
      <c r="G72" s="1131">
        <f>IF(E72&lt;'Building Info &amp; Assumptions'!$E$61,E72,0)</f>
        <v>0</v>
      </c>
      <c r="H72" s="1127"/>
      <c r="I72" s="1128"/>
      <c r="J72" s="4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row>
    <row r="73" spans="1:142" s="106" customFormat="1" outlineLevel="1">
      <c r="A73" s="45"/>
      <c r="B73" s="1152" t="s">
        <v>551</v>
      </c>
      <c r="C73" s="1154"/>
      <c r="D73" s="1131">
        <f>IF(C73="",0, IFERROR(INDEX('Narrative &amp; Measures'!$C$28:$C$67,MATCH(C73,'Narrative &amp; Measures'!$A$28:$A$67,0)),0))</f>
        <v>0</v>
      </c>
      <c r="E73" s="1131">
        <f>IF(C73="",0, IFERROR(INDEX('Narrative &amp; Measures'!$U$28:$U$67,MATCH(C73,'Narrative &amp; Measures'!$A$28:$A$67,0)),0))</f>
        <v>0</v>
      </c>
      <c r="F73" s="1131">
        <f>IF(E73&gt;'Building Info &amp; Assumptions'!$E$61,E73,0)</f>
        <v>0</v>
      </c>
      <c r="G73" s="1131">
        <f>IF(E73&lt;'Building Info &amp; Assumptions'!$E$61,E73,0)</f>
        <v>0</v>
      </c>
      <c r="H73" s="1127"/>
      <c r="I73" s="1128"/>
      <c r="J73" s="4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row>
    <row r="74" spans="1:142" s="106" customFormat="1" outlineLevel="1">
      <c r="A74" s="45"/>
      <c r="B74" s="1152" t="s">
        <v>552</v>
      </c>
      <c r="C74" s="1154"/>
      <c r="D74" s="1131">
        <f>IF(C74="",0, IFERROR(INDEX('Narrative &amp; Measures'!$C$28:$C$67,MATCH(C74,'Narrative &amp; Measures'!$A$28:$A$67,0)),0))</f>
        <v>0</v>
      </c>
      <c r="E74" s="1131">
        <f>IF(C74="",0, IFERROR(INDEX('Narrative &amp; Measures'!$U$28:$U$67,MATCH(C74,'Narrative &amp; Measures'!$A$28:$A$67,0)),0))</f>
        <v>0</v>
      </c>
      <c r="F74" s="1131">
        <f>IF(E74&gt;'Building Info &amp; Assumptions'!$E$61,E74,0)</f>
        <v>0</v>
      </c>
      <c r="G74" s="1131">
        <f>IF(E74&lt;'Building Info &amp; Assumptions'!$E$61,E74,0)</f>
        <v>0</v>
      </c>
      <c r="H74" s="1127"/>
      <c r="I74" s="1128"/>
      <c r="J74" s="4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row>
    <row r="75" spans="1:142" s="106" customFormat="1" outlineLevel="1">
      <c r="A75" s="45"/>
      <c r="B75" s="1152" t="s">
        <v>553</v>
      </c>
      <c r="C75" s="1154"/>
      <c r="D75" s="1131">
        <f>IF(C75="",0, IFERROR(INDEX('Narrative &amp; Measures'!$C$28:$C$67,MATCH(C75,'Narrative &amp; Measures'!$A$28:$A$67,0)),0))</f>
        <v>0</v>
      </c>
      <c r="E75" s="1131">
        <f>IF(C75="",0, IFERROR(INDEX('Narrative &amp; Measures'!$U$28:$U$67,MATCH(C75,'Narrative &amp; Measures'!$A$28:$A$67,0)),0))</f>
        <v>0</v>
      </c>
      <c r="F75" s="1131">
        <f>IF(E75&gt;'Building Info &amp; Assumptions'!$E$61,E75,0)</f>
        <v>0</v>
      </c>
      <c r="G75" s="1131">
        <f>IF(E75&lt;'Building Info &amp; Assumptions'!$E$61,E75,0)</f>
        <v>0</v>
      </c>
      <c r="H75" s="1127"/>
      <c r="I75" s="1128"/>
      <c r="J75" s="4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row>
    <row r="76" spans="1:142" s="106" customFormat="1" outlineLevel="1">
      <c r="A76" s="45"/>
      <c r="B76" s="1152" t="s">
        <v>554</v>
      </c>
      <c r="C76" s="1154"/>
      <c r="D76" s="1131">
        <f>IF(C76="",0, IFERROR(INDEX('Narrative &amp; Measures'!$C$28:$C$67,MATCH(C76,'Narrative &amp; Measures'!$A$28:$A$67,0)),0))</f>
        <v>0</v>
      </c>
      <c r="E76" s="1131">
        <f>IF(C76="",0, IFERROR(INDEX('Narrative &amp; Measures'!$U$28:$U$67,MATCH(C76,'Narrative &amp; Measures'!$A$28:$A$67,0)),0))</f>
        <v>0</v>
      </c>
      <c r="F76" s="1131">
        <f>IF(E76&gt;'Building Info &amp; Assumptions'!$E$61,E76,0)</f>
        <v>0</v>
      </c>
      <c r="G76" s="1131">
        <f>IF(E76&lt;'Building Info &amp; Assumptions'!$E$61,E76,0)</f>
        <v>0</v>
      </c>
      <c r="H76" s="1127"/>
      <c r="I76" s="1128"/>
      <c r="J76" s="4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row>
    <row r="77" spans="1:142" s="106" customFormat="1" outlineLevel="1">
      <c r="A77" s="45"/>
      <c r="B77" s="1152" t="s">
        <v>555</v>
      </c>
      <c r="C77" s="1154"/>
      <c r="D77" s="1131">
        <f>IF(C77="",0, IFERROR(INDEX('Narrative &amp; Measures'!$C$28:$C$67,MATCH(C77,'Narrative &amp; Measures'!$A$28:$A$67,0)),0))</f>
        <v>0</v>
      </c>
      <c r="E77" s="1131">
        <f>IF(C77="",0, IFERROR(INDEX('Narrative &amp; Measures'!$U$28:$U$67,MATCH(C77,'Narrative &amp; Measures'!$A$28:$A$67,0)),0))</f>
        <v>0</v>
      </c>
      <c r="F77" s="1131">
        <f>IF(E77&gt;'Building Info &amp; Assumptions'!$E$61,E77,0)</f>
        <v>0</v>
      </c>
      <c r="G77" s="1131">
        <f>IF(E77&lt;'Building Info &amp; Assumptions'!$E$61,E77,0)</f>
        <v>0</v>
      </c>
      <c r="H77" s="1127"/>
      <c r="I77" s="1128"/>
      <c r="J77" s="4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row>
    <row r="78" spans="1:142" s="106" customFormat="1" outlineLevel="1">
      <c r="A78" s="45"/>
      <c r="B78" s="1152" t="s">
        <v>556</v>
      </c>
      <c r="C78" s="1154"/>
      <c r="D78" s="1131">
        <f>IF(C78="",0, IFERROR(INDEX('Narrative &amp; Measures'!$C$28:$C$67,MATCH(C78,'Narrative &amp; Measures'!$A$28:$A$67,0)),0))</f>
        <v>0</v>
      </c>
      <c r="E78" s="1131">
        <f>IF(C78="",0, IFERROR(INDEX('Narrative &amp; Measures'!$U$28:$U$67,MATCH(C78,'Narrative &amp; Measures'!$A$28:$A$67,0)),0))</f>
        <v>0</v>
      </c>
      <c r="F78" s="1131">
        <f>IF(E78&gt;'Building Info &amp; Assumptions'!$E$61,E78,0)</f>
        <v>0</v>
      </c>
      <c r="G78" s="1131">
        <f>IF(E78&lt;'Building Info &amp; Assumptions'!$E$61,E78,0)</f>
        <v>0</v>
      </c>
      <c r="H78" s="1127"/>
      <c r="I78" s="1128"/>
      <c r="J78" s="4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row>
    <row r="79" spans="1:142" s="106" customFormat="1" outlineLevel="1">
      <c r="A79" s="45"/>
      <c r="B79" s="1152" t="s">
        <v>557</v>
      </c>
      <c r="C79" s="1154"/>
      <c r="D79" s="1131">
        <f>IF(C79="",0, IFERROR(INDEX('Narrative &amp; Measures'!$C$28:$C$67,MATCH(C79,'Narrative &amp; Measures'!$A$28:$A$67,0)),0))</f>
        <v>0</v>
      </c>
      <c r="E79" s="1131">
        <f>IF(C79="",0, IFERROR(INDEX('Narrative &amp; Measures'!$U$28:$U$67,MATCH(C79,'Narrative &amp; Measures'!$A$28:$A$67,0)),0))</f>
        <v>0</v>
      </c>
      <c r="F79" s="1131">
        <f>IF(E79&gt;'Building Info &amp; Assumptions'!$E$61,E79,0)</f>
        <v>0</v>
      </c>
      <c r="G79" s="1131">
        <f>IF(E79&lt;'Building Info &amp; Assumptions'!$E$61,E79,0)</f>
        <v>0</v>
      </c>
      <c r="H79" s="1127"/>
      <c r="I79" s="1128"/>
      <c r="J79" s="4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row>
    <row r="80" spans="1:142" s="106" customFormat="1" outlineLevel="1">
      <c r="A80" s="45"/>
      <c r="B80" s="1152" t="s">
        <v>558</v>
      </c>
      <c r="C80" s="1154"/>
      <c r="D80" s="1131">
        <f>IF(C80="",0, IFERROR(INDEX('Narrative &amp; Measures'!$C$28:$C$67,MATCH(C80,'Narrative &amp; Measures'!$A$28:$A$67,0)),0))</f>
        <v>0</v>
      </c>
      <c r="E80" s="1131">
        <f>IF(C80="",0, IFERROR(INDEX('Narrative &amp; Measures'!$U$28:$U$67,MATCH(C80,'Narrative &amp; Measures'!$A$28:$A$67,0)),0))</f>
        <v>0</v>
      </c>
      <c r="F80" s="1131">
        <f>IF(E80&gt;'Building Info &amp; Assumptions'!$E$61,E80,0)</f>
        <v>0</v>
      </c>
      <c r="G80" s="1131">
        <f>IF(E80&lt;'Building Info &amp; Assumptions'!$E$61,E80,0)</f>
        <v>0</v>
      </c>
      <c r="H80" s="1155"/>
      <c r="I80" s="1128"/>
      <c r="J80" s="4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row>
    <row r="81" spans="1:142" s="106" customFormat="1" outlineLevel="1">
      <c r="A81" s="45"/>
      <c r="B81" s="1152" t="s">
        <v>559</v>
      </c>
      <c r="C81" s="1154"/>
      <c r="D81" s="1131">
        <f>IF(C81="",0, IFERROR(INDEX('Narrative &amp; Measures'!$C$28:$C$67,MATCH(C81,'Narrative &amp; Measures'!$A$28:$A$67,0)),0))</f>
        <v>0</v>
      </c>
      <c r="E81" s="1131">
        <f>IF(C81="",0, IFERROR(INDEX('Narrative &amp; Measures'!$U$28:$U$67,MATCH(C81,'Narrative &amp; Measures'!$A$28:$A$67,0)),0))</f>
        <v>0</v>
      </c>
      <c r="F81" s="1131">
        <f>IF(E81&gt;'Building Info &amp; Assumptions'!$E$61,E81,0)</f>
        <v>0</v>
      </c>
      <c r="G81" s="1131">
        <f>IF(E81&lt;'Building Info &amp; Assumptions'!$E$61,E81,0)</f>
        <v>0</v>
      </c>
      <c r="H81" s="1167"/>
      <c r="I81" s="1128"/>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row>
    <row r="82" spans="1:142" s="106" customFormat="1" ht="15.95" outlineLevel="1" thickBot="1">
      <c r="A82" s="45"/>
      <c r="B82" s="1152" t="s">
        <v>560</v>
      </c>
      <c r="C82" s="1157"/>
      <c r="D82" s="1158">
        <f>IF(C82="",0, IFERROR(INDEX('Narrative &amp; Measures'!$C$28:$C$67,MATCH(C82,'Narrative &amp; Measures'!$A$28:$A$67,0)),0))</f>
        <v>0</v>
      </c>
      <c r="E82" s="1158">
        <f>IF(C82="",0, IFERROR(INDEX('Narrative &amp; Measures'!$U$28:$U$67,MATCH(C82,'Narrative &amp; Measures'!$A$28:$A$67,0)),0))</f>
        <v>0</v>
      </c>
      <c r="F82" s="1158">
        <f>IF(E82&gt;'Building Info &amp; Assumptions'!$E$61,E82,0)</f>
        <v>0</v>
      </c>
      <c r="G82" s="1158">
        <f>IF(E82&lt;'Building Info &amp; Assumptions'!$E$61,E82,0)</f>
        <v>0</v>
      </c>
      <c r="H82" s="1167"/>
      <c r="I82" s="1159"/>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row>
    <row r="83" spans="1:142" s="106" customFormat="1" ht="17.100000000000001" thickBot="1">
      <c r="A83" s="45"/>
      <c r="B83" s="497" t="s">
        <v>400</v>
      </c>
      <c r="C83" s="498" t="s">
        <v>561</v>
      </c>
      <c r="D83" s="499">
        <v>0</v>
      </c>
      <c r="E83" s="499">
        <v>0</v>
      </c>
      <c r="F83" s="499">
        <v>0</v>
      </c>
      <c r="G83" s="499">
        <f>IF(B83="No",0,AVERAGE('Operating Statements'!$B$194:$U$194))</f>
        <v>43564.129876835745</v>
      </c>
      <c r="H83" s="701"/>
      <c r="I83" s="500">
        <v>1</v>
      </c>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F83" s="45"/>
      <c r="DG83" s="45"/>
      <c r="DH83" s="45"/>
      <c r="DI83" s="45"/>
      <c r="DJ83" s="45"/>
      <c r="DK83" s="45"/>
      <c r="DL83" s="45"/>
      <c r="DM83" s="45"/>
      <c r="DN83" s="45"/>
      <c r="DO83" s="45"/>
      <c r="DP83" s="45"/>
      <c r="DQ83" s="45"/>
      <c r="DR83" s="45"/>
      <c r="DS83" s="45"/>
      <c r="DT83" s="45"/>
      <c r="DU83" s="45"/>
      <c r="DV83" s="45"/>
      <c r="DW83" s="45"/>
      <c r="DX83" s="45"/>
      <c r="DY83" s="45"/>
      <c r="DZ83" s="45"/>
      <c r="EA83" s="45"/>
      <c r="EB83" s="45"/>
      <c r="EC83" s="45"/>
      <c r="ED83" s="45"/>
      <c r="EE83" s="45"/>
      <c r="EF83" s="45"/>
      <c r="EG83" s="45"/>
      <c r="EH83" s="45"/>
      <c r="EI83" s="45"/>
      <c r="EJ83" s="45"/>
      <c r="EK83" s="45"/>
      <c r="EL83" s="45"/>
    </row>
    <row r="84" spans="1:142" s="106" customFormat="1" ht="17.100000000000001" thickBot="1">
      <c r="A84" s="45"/>
      <c r="B84" s="492" t="s">
        <v>536</v>
      </c>
      <c r="C84" s="496" t="s">
        <v>562</v>
      </c>
      <c r="D84" s="494">
        <f>SUM(D63:D83)</f>
        <v>892000</v>
      </c>
      <c r="E84" s="494">
        <f>SUM(E63:E83)</f>
        <v>9200000</v>
      </c>
      <c r="F84" s="494">
        <f t="shared" ref="F84" si="1">SUM(F63:F83)</f>
        <v>9200000</v>
      </c>
      <c r="G84" s="494">
        <f>SUM(G63:G83)</f>
        <v>43564.129876835745</v>
      </c>
      <c r="H84" s="702"/>
      <c r="I84" s="49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row>
    <row r="85" spans="1:142" s="45" customFormat="1">
      <c r="B85" s="429"/>
      <c r="C85" s="46"/>
      <c r="D85" s="46"/>
      <c r="E85" s="46"/>
      <c r="F85" s="46"/>
      <c r="G85" s="46"/>
      <c r="H85" s="46"/>
      <c r="I85" s="430"/>
    </row>
    <row r="86" spans="1:142" s="45" customFormat="1">
      <c r="B86" s="429"/>
      <c r="C86" s="46"/>
      <c r="D86" s="46"/>
      <c r="E86" s="461"/>
      <c r="F86" s="46"/>
      <c r="G86" s="46"/>
      <c r="H86" s="46"/>
      <c r="I86" s="705"/>
    </row>
    <row r="87" spans="1:142" s="106" customFormat="1" ht="192">
      <c r="A87" s="45"/>
      <c r="B87" s="1164" t="s">
        <v>564</v>
      </c>
      <c r="C87" s="1165" t="str">
        <f>"ECM Alternative 3: "&amp;'Narrative &amp; Measures'!G15</f>
        <v>ECM Alternative 3: Cheapest Electrification with Limited Efficiency Upgrades and Limited Tenant Participation - 
This option replaces with less efficient but cheapest electric options for heating and basic cooling. Steam is retained for backup. Some basic efficiency measures implemented if cost-effective.
Cooling: Partial replacement of centrifugal chillers with highly efficient at end of useful life. Add heat recovery chillers to take advantage of simultaneous heating and cooling. 
Heating/DHW: Provide heating hot water by replacing steam heat exchanger with electric boilers at required temperature for hot water coils (180F). Add electric resistance water heaters to existing domestic hot water storage tanks.
Distribution: Basic efficiency measures. No HHW coil conversion.
Rely on carbon offsets to achieve compliance.</v>
      </c>
      <c r="D87" s="1137" t="s">
        <v>3</v>
      </c>
      <c r="E87" s="302" t="s">
        <v>4</v>
      </c>
      <c r="F87" s="1166" t="s">
        <v>5</v>
      </c>
      <c r="G87" s="1140" t="s">
        <v>6</v>
      </c>
      <c r="H87" s="1141" t="s">
        <v>522</v>
      </c>
      <c r="I87" s="249" t="s">
        <v>540</v>
      </c>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row>
    <row r="88" spans="1:142" s="106" customFormat="1" ht="15.95" outlineLevel="1">
      <c r="A88" s="45"/>
      <c r="B88" s="1152" t="s">
        <v>541</v>
      </c>
      <c r="C88" s="1153" t="s">
        <v>496</v>
      </c>
      <c r="D88" s="1133">
        <f>IF(C88="",0, IFERROR(INDEX('Narrative &amp; Measures'!$C$28:$C$67,MATCH(C88,'Narrative &amp; Measures'!$A$28:$A$67,0)),0))</f>
        <v>42000</v>
      </c>
      <c r="E88" s="1133">
        <f>IF(C88="",0, IFERROR(INDEX('Narrative &amp; Measures'!$U$28:$U$67,MATCH(C88,'Narrative &amp; Measures'!$A$28:$A$67,0)),0))</f>
        <v>2000000</v>
      </c>
      <c r="F88" s="1133">
        <f>IF(E88&gt;'Building Info &amp; Assumptions'!$E$61,E88,0)</f>
        <v>2000000</v>
      </c>
      <c r="G88" s="1133">
        <f>IF(E88&lt;'Building Info &amp; Assumptions'!$E$61,E88,0)</f>
        <v>0</v>
      </c>
      <c r="H88" s="1127" t="s">
        <v>376</v>
      </c>
      <c r="I88" s="1134">
        <v>7</v>
      </c>
      <c r="J88" s="4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row>
    <row r="89" spans="1:142" s="106" customFormat="1" ht="15.95" outlineLevel="1">
      <c r="A89" s="45"/>
      <c r="B89" s="1152" t="s">
        <v>542</v>
      </c>
      <c r="C89" s="1154" t="s">
        <v>497</v>
      </c>
      <c r="D89" s="1131">
        <f>IF(C89="",0, IFERROR(INDEX('Narrative &amp; Measures'!$C$28:$C$67,MATCH(C89,'Narrative &amp; Measures'!$A$28:$A$67,0)),0))</f>
        <v>260000</v>
      </c>
      <c r="E89" s="1131">
        <f>IF(C89="",0, IFERROR(INDEX('Narrative &amp; Measures'!$U$28:$U$67,MATCH(C89,'Narrative &amp; Measures'!$A$28:$A$67,0)),0))</f>
        <v>3000000</v>
      </c>
      <c r="F89" s="1131">
        <f>IF(E89&gt;'Building Info &amp; Assumptions'!$E$61,E89,0)</f>
        <v>3000000</v>
      </c>
      <c r="G89" s="1131">
        <f>IF(E89&lt;'Building Info &amp; Assumptions'!$E$61,E89,0)</f>
        <v>0</v>
      </c>
      <c r="H89" s="1127" t="s">
        <v>376</v>
      </c>
      <c r="I89" s="1128">
        <v>5</v>
      </c>
      <c r="J89" s="4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5"/>
      <c r="DQ89" s="45"/>
      <c r="DR89" s="45"/>
      <c r="DS89" s="45"/>
      <c r="DT89" s="45"/>
      <c r="DU89" s="45"/>
      <c r="DV89" s="45"/>
      <c r="DW89" s="45"/>
      <c r="DX89" s="45"/>
      <c r="DY89" s="45"/>
      <c r="DZ89" s="45"/>
      <c r="EA89" s="45"/>
      <c r="EB89" s="45"/>
      <c r="EC89" s="45"/>
      <c r="ED89" s="45"/>
      <c r="EE89" s="45"/>
      <c r="EF89" s="45"/>
      <c r="EG89" s="45"/>
      <c r="EH89" s="45"/>
      <c r="EI89" s="45"/>
      <c r="EJ89" s="45"/>
      <c r="EK89" s="45"/>
      <c r="EL89" s="45"/>
    </row>
    <row r="90" spans="1:142" s="106" customFormat="1" ht="15.95" outlineLevel="1">
      <c r="A90" s="45"/>
      <c r="B90" s="1152" t="s">
        <v>543</v>
      </c>
      <c r="C90" s="1154" t="s">
        <v>500</v>
      </c>
      <c r="D90" s="1131">
        <f>IF(C90="",0, IFERROR(INDEX('Narrative &amp; Measures'!$C$28:$C$67,MATCH(C90,'Narrative &amp; Measures'!$A$28:$A$67,0)),0))</f>
        <v>400000</v>
      </c>
      <c r="E90" s="1131">
        <f>IF(C90="",0, IFERROR(INDEX('Narrative &amp; Measures'!$U$28:$U$67,MATCH(C90,'Narrative &amp; Measures'!$A$28:$A$67,0)),0))</f>
        <v>2000000</v>
      </c>
      <c r="F90" s="1131">
        <f>IF(E90&gt;'Building Info &amp; Assumptions'!$E$61,E90,0)</f>
        <v>2000000</v>
      </c>
      <c r="G90" s="1131">
        <f>IF(E90&lt;'Building Info &amp; Assumptions'!$E$61,E90,0)</f>
        <v>0</v>
      </c>
      <c r="H90" s="1127" t="s">
        <v>376</v>
      </c>
      <c r="I90" s="1128">
        <v>7</v>
      </c>
      <c r="J90" s="4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row>
    <row r="91" spans="1:142" s="106" customFormat="1" ht="15.95" outlineLevel="1">
      <c r="A91" s="45"/>
      <c r="B91" s="1152" t="s">
        <v>544</v>
      </c>
      <c r="C91" s="1154" t="s">
        <v>504</v>
      </c>
      <c r="D91" s="1131">
        <f>IF(C91="",0, IFERROR(INDEX('Narrative &amp; Measures'!$C$28:$C$67,MATCH(C91,'Narrative &amp; Measures'!$A$28:$A$67,0)),0))</f>
        <v>-120000</v>
      </c>
      <c r="E91" s="1131">
        <f>IF(C91="",0, IFERROR(INDEX('Narrative &amp; Measures'!$U$28:$U$67,MATCH(C91,'Narrative &amp; Measures'!$A$28:$A$67,0)),0))</f>
        <v>500000</v>
      </c>
      <c r="F91" s="1131">
        <f>IF(E91&gt;'Building Info &amp; Assumptions'!$E$61,E91,0)</f>
        <v>500000</v>
      </c>
      <c r="G91" s="1131">
        <f>IF(E91&lt;'Building Info &amp; Assumptions'!$E$61,E91,0)</f>
        <v>0</v>
      </c>
      <c r="H91" s="1127" t="s">
        <v>376</v>
      </c>
      <c r="I91" s="1128">
        <v>2</v>
      </c>
      <c r="J91" s="4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row>
    <row r="92" spans="1:142" s="106" customFormat="1" ht="15.95" outlineLevel="1">
      <c r="A92" s="45"/>
      <c r="B92" s="1152" t="s">
        <v>545</v>
      </c>
      <c r="C92" s="1154" t="s">
        <v>506</v>
      </c>
      <c r="D92" s="1131">
        <f>IF(C92="",0, IFERROR(INDEX('Narrative &amp; Measures'!$C$28:$C$67,MATCH(C92,'Narrative &amp; Measures'!$A$28:$A$67,0)),0))</f>
        <v>15000</v>
      </c>
      <c r="E92" s="1131">
        <f>IF(C92="",0, IFERROR(INDEX('Narrative &amp; Measures'!$U$28:$U$67,MATCH(C92,'Narrative &amp; Measures'!$A$28:$A$67,0)),0))</f>
        <v>0</v>
      </c>
      <c r="F92" s="1131">
        <f>IF(E92&gt;'Building Info &amp; Assumptions'!$E$61,E92,0)</f>
        <v>0</v>
      </c>
      <c r="G92" s="1131">
        <f>IF(E92&lt;'Building Info &amp; Assumptions'!$E$61,E92,0)</f>
        <v>0</v>
      </c>
      <c r="H92" s="1127" t="s">
        <v>376</v>
      </c>
      <c r="I92" s="1128">
        <v>1</v>
      </c>
      <c r="J92" s="4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row>
    <row r="93" spans="1:142" s="106" customFormat="1" outlineLevel="1">
      <c r="A93" s="45"/>
      <c r="B93" s="1152" t="s">
        <v>546</v>
      </c>
      <c r="C93" s="1154"/>
      <c r="D93" s="1131">
        <f>IF(C93="",0, IFERROR(INDEX('Narrative &amp; Measures'!$C$28:$C$67,MATCH(C93,'Narrative &amp; Measures'!$A$28:$A$67,0)),0))</f>
        <v>0</v>
      </c>
      <c r="E93" s="1131">
        <f>IF(C93="",0, IFERROR(INDEX('Narrative &amp; Measures'!$U$28:$U$67,MATCH(C93,'Narrative &amp; Measures'!$A$28:$A$67,0)),0))</f>
        <v>0</v>
      </c>
      <c r="F93" s="1131">
        <f>IF(E93&gt;'Building Info &amp; Assumptions'!$E$61,E93,0)</f>
        <v>0</v>
      </c>
      <c r="G93" s="1131">
        <f>IF(E93&lt;'Building Info &amp; Assumptions'!$E$61,E93,0)</f>
        <v>0</v>
      </c>
      <c r="H93" s="1127"/>
      <c r="I93" s="1128"/>
      <c r="J93" s="4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row>
    <row r="94" spans="1:142" s="106" customFormat="1" outlineLevel="1">
      <c r="A94" s="45"/>
      <c r="B94" s="1152" t="s">
        <v>547</v>
      </c>
      <c r="C94" s="1154"/>
      <c r="D94" s="1131">
        <f>IF(C94="",0, IFERROR(INDEX('Narrative &amp; Measures'!$C$28:$C$67,MATCH(C94,'Narrative &amp; Measures'!$A$28:$A$67,0)),0))</f>
        <v>0</v>
      </c>
      <c r="E94" s="1131">
        <f>IF(C94="",0, IFERROR(INDEX('Narrative &amp; Measures'!$U$28:$U$67,MATCH(C94,'Narrative &amp; Measures'!$A$28:$A$67,0)),0))</f>
        <v>0</v>
      </c>
      <c r="F94" s="1131">
        <f>IF(E94&gt;'Building Info &amp; Assumptions'!$E$61,E94,0)</f>
        <v>0</v>
      </c>
      <c r="G94" s="1131">
        <f>IF(E94&lt;'Building Info &amp; Assumptions'!$E$61,E94,0)</f>
        <v>0</v>
      </c>
      <c r="H94" s="1127"/>
      <c r="I94" s="1128"/>
      <c r="J94" s="4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row>
    <row r="95" spans="1:142" s="106" customFormat="1" outlineLevel="1">
      <c r="A95" s="45"/>
      <c r="B95" s="1152" t="s">
        <v>548</v>
      </c>
      <c r="C95" s="1154"/>
      <c r="D95" s="1131">
        <f>IF(C95="",0, IFERROR(INDEX('Narrative &amp; Measures'!$C$28:$C$67,MATCH(C95,'Narrative &amp; Measures'!$A$28:$A$67,0)),0))</f>
        <v>0</v>
      </c>
      <c r="E95" s="1131">
        <f>IF(C95="",0, IFERROR(INDEX('Narrative &amp; Measures'!$U$28:$U$67,MATCH(C95,'Narrative &amp; Measures'!$A$28:$A$67,0)),0))</f>
        <v>0</v>
      </c>
      <c r="F95" s="1131">
        <f>IF(E95&gt;'Building Info &amp; Assumptions'!$E$61,E95,0)</f>
        <v>0</v>
      </c>
      <c r="G95" s="1131">
        <f>IF(E95&lt;'Building Info &amp; Assumptions'!$E$61,E95,0)</f>
        <v>0</v>
      </c>
      <c r="H95" s="1127"/>
      <c r="I95" s="1128"/>
      <c r="J95" s="4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row>
    <row r="96" spans="1:142" s="106" customFormat="1" outlineLevel="1">
      <c r="A96" s="45"/>
      <c r="B96" s="1152" t="s">
        <v>549</v>
      </c>
      <c r="C96" s="1154"/>
      <c r="D96" s="1131">
        <f>IF(C96="",0, IFERROR(INDEX('Narrative &amp; Measures'!$C$28:$C$67,MATCH(C96,'Narrative &amp; Measures'!$A$28:$A$67,0)),0))</f>
        <v>0</v>
      </c>
      <c r="E96" s="1131">
        <f>IF(C96="",0, IFERROR(INDEX('Narrative &amp; Measures'!$U$28:$U$67,MATCH(C96,'Narrative &amp; Measures'!$A$28:$A$67,0)),0))</f>
        <v>0</v>
      </c>
      <c r="F96" s="1131">
        <f>IF(E96&gt;'Building Info &amp; Assumptions'!$E$61,E96,0)</f>
        <v>0</v>
      </c>
      <c r="G96" s="1131">
        <f>IF(E96&lt;'Building Info &amp; Assumptions'!$E$61,E96,0)</f>
        <v>0</v>
      </c>
      <c r="H96" s="1127"/>
      <c r="I96" s="1128"/>
      <c r="J96" s="4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row>
    <row r="97" spans="1:142" s="106" customFormat="1" outlineLevel="1">
      <c r="A97" s="45"/>
      <c r="B97" s="1152" t="s">
        <v>550</v>
      </c>
      <c r="C97" s="1154"/>
      <c r="D97" s="1131">
        <f>IF(C97="",0, IFERROR(INDEX('Narrative &amp; Measures'!$C$28:$C$67,MATCH(C97,'Narrative &amp; Measures'!$A$28:$A$67,0)),0))</f>
        <v>0</v>
      </c>
      <c r="E97" s="1131">
        <f>IF(C97="",0, IFERROR(INDEX('Narrative &amp; Measures'!$U$28:$U$67,MATCH(C97,'Narrative &amp; Measures'!$A$28:$A$67,0)),0))</f>
        <v>0</v>
      </c>
      <c r="F97" s="1131">
        <f>IF(E97&gt;'Building Info &amp; Assumptions'!$E$61,E97,0)</f>
        <v>0</v>
      </c>
      <c r="G97" s="1131">
        <f>IF(E97&lt;'Building Info &amp; Assumptions'!$E$61,E97,0)</f>
        <v>0</v>
      </c>
      <c r="H97" s="1127"/>
      <c r="I97" s="1128"/>
      <c r="J97" s="4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row>
    <row r="98" spans="1:142" s="106" customFormat="1" outlineLevel="1">
      <c r="A98" s="45"/>
      <c r="B98" s="1152" t="s">
        <v>551</v>
      </c>
      <c r="C98" s="1154"/>
      <c r="D98" s="1131">
        <f>IF(C98="",0, IFERROR(INDEX('Narrative &amp; Measures'!$C$28:$C$67,MATCH(C98,'Narrative &amp; Measures'!$A$28:$A$67,0)),0))</f>
        <v>0</v>
      </c>
      <c r="E98" s="1131">
        <f>IF(C98="",0, IFERROR(INDEX('Narrative &amp; Measures'!$U$28:$U$67,MATCH(C98,'Narrative &amp; Measures'!$A$28:$A$67,0)),0))</f>
        <v>0</v>
      </c>
      <c r="F98" s="1131">
        <f>IF(E98&gt;'Building Info &amp; Assumptions'!$E$61,E98,0)</f>
        <v>0</v>
      </c>
      <c r="G98" s="1131">
        <f>IF(E98&lt;'Building Info &amp; Assumptions'!$E$61,E98,0)</f>
        <v>0</v>
      </c>
      <c r="H98" s="1127"/>
      <c r="I98" s="1128"/>
      <c r="J98" s="4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row>
    <row r="99" spans="1:142" s="106" customFormat="1" outlineLevel="1">
      <c r="A99" s="45"/>
      <c r="B99" s="1152" t="s">
        <v>552</v>
      </c>
      <c r="C99" s="1154"/>
      <c r="D99" s="1131">
        <f>IF(C99="",0, IFERROR(INDEX('Narrative &amp; Measures'!$C$28:$C$67,MATCH(C99,'Narrative &amp; Measures'!$A$28:$A$67,0)),0))</f>
        <v>0</v>
      </c>
      <c r="E99" s="1131">
        <f>IF(C99="",0, IFERROR(INDEX('Narrative &amp; Measures'!$U$28:$U$67,MATCH(C99,'Narrative &amp; Measures'!$A$28:$A$67,0)),0))</f>
        <v>0</v>
      </c>
      <c r="F99" s="1131">
        <f>IF(E99&gt;'Building Info &amp; Assumptions'!$E$61,E99,0)</f>
        <v>0</v>
      </c>
      <c r="G99" s="1131">
        <f>IF(E99&lt;'Building Info &amp; Assumptions'!$E$61,E99,0)</f>
        <v>0</v>
      </c>
      <c r="H99" s="1127"/>
      <c r="I99" s="1128"/>
      <c r="J99" s="4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5"/>
      <c r="DQ99" s="45"/>
      <c r="DR99" s="45"/>
      <c r="DS99" s="45"/>
      <c r="DT99" s="45"/>
      <c r="DU99" s="45"/>
      <c r="DV99" s="45"/>
      <c r="DW99" s="45"/>
      <c r="DX99" s="45"/>
      <c r="DY99" s="45"/>
      <c r="DZ99" s="45"/>
      <c r="EA99" s="45"/>
      <c r="EB99" s="45"/>
      <c r="EC99" s="45"/>
      <c r="ED99" s="45"/>
      <c r="EE99" s="45"/>
      <c r="EF99" s="45"/>
      <c r="EG99" s="45"/>
      <c r="EH99" s="45"/>
      <c r="EI99" s="45"/>
      <c r="EJ99" s="45"/>
      <c r="EK99" s="45"/>
      <c r="EL99" s="45"/>
    </row>
    <row r="100" spans="1:142" s="106" customFormat="1" outlineLevel="1">
      <c r="A100" s="45"/>
      <c r="B100" s="1152" t="s">
        <v>553</v>
      </c>
      <c r="C100" s="1154"/>
      <c r="D100" s="1131">
        <f>IF(C100="",0, IFERROR(INDEX('Narrative &amp; Measures'!$C$28:$C$67,MATCH(C100,'Narrative &amp; Measures'!$A$28:$A$67,0)),0))</f>
        <v>0</v>
      </c>
      <c r="E100" s="1131">
        <f>IF(C100="",0, IFERROR(INDEX('Narrative &amp; Measures'!$U$28:$U$67,MATCH(C100,'Narrative &amp; Measures'!$A$28:$A$67,0)),0))</f>
        <v>0</v>
      </c>
      <c r="F100" s="1131">
        <f>IF(E100&gt;'Building Info &amp; Assumptions'!$E$61,E100,0)</f>
        <v>0</v>
      </c>
      <c r="G100" s="1131">
        <f>IF(E100&lt;'Building Info &amp; Assumptions'!$E$61,E100,0)</f>
        <v>0</v>
      </c>
      <c r="H100" s="1127"/>
      <c r="I100" s="1128"/>
      <c r="J100" s="4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45"/>
      <c r="EI100" s="45"/>
      <c r="EJ100" s="45"/>
      <c r="EK100" s="45"/>
      <c r="EL100" s="45"/>
    </row>
    <row r="101" spans="1:142" s="106" customFormat="1" outlineLevel="1">
      <c r="A101" s="45"/>
      <c r="B101" s="1152" t="s">
        <v>554</v>
      </c>
      <c r="C101" s="1154"/>
      <c r="D101" s="1131">
        <f>IF(C101="",0, IFERROR(INDEX('Narrative &amp; Measures'!$C$28:$C$67,MATCH(C101,'Narrative &amp; Measures'!$A$28:$A$67,0)),0))</f>
        <v>0</v>
      </c>
      <c r="E101" s="1131">
        <f>IF(C101="",0, IFERROR(INDEX('Narrative &amp; Measures'!$U$28:$U$67,MATCH(C101,'Narrative &amp; Measures'!$A$28:$A$67,0)),0))</f>
        <v>0</v>
      </c>
      <c r="F101" s="1131">
        <f>IF(E101&gt;'Building Info &amp; Assumptions'!$E$61,E101,0)</f>
        <v>0</v>
      </c>
      <c r="G101" s="1131">
        <f>IF(E101&lt;'Building Info &amp; Assumptions'!$E$61,E101,0)</f>
        <v>0</v>
      </c>
      <c r="H101" s="1127"/>
      <c r="I101" s="1128"/>
      <c r="J101" s="4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row>
    <row r="102" spans="1:142" s="106" customFormat="1" outlineLevel="1">
      <c r="A102" s="45"/>
      <c r="B102" s="1152" t="s">
        <v>555</v>
      </c>
      <c r="C102" s="1154"/>
      <c r="D102" s="1131">
        <f>IF(C102="",0, IFERROR(INDEX('Narrative &amp; Measures'!$C$28:$C$67,MATCH(C102,'Narrative &amp; Measures'!$A$28:$A$67,0)),0))</f>
        <v>0</v>
      </c>
      <c r="E102" s="1131">
        <f>IF(C102="",0, IFERROR(INDEX('Narrative &amp; Measures'!$U$28:$U$67,MATCH(C102,'Narrative &amp; Measures'!$A$28:$A$67,0)),0))</f>
        <v>0</v>
      </c>
      <c r="F102" s="1131">
        <f>IF(E102&gt;'Building Info &amp; Assumptions'!$E$61,E102,0)</f>
        <v>0</v>
      </c>
      <c r="G102" s="1131">
        <f>IF(E102&lt;'Building Info &amp; Assumptions'!$E$61,E102,0)</f>
        <v>0</v>
      </c>
      <c r="H102" s="1127"/>
      <c r="I102" s="1128"/>
      <c r="J102" s="4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5"/>
      <c r="DQ102" s="45"/>
      <c r="DR102" s="45"/>
      <c r="DS102" s="45"/>
      <c r="DT102" s="45"/>
      <c r="DU102" s="45"/>
      <c r="DV102" s="45"/>
      <c r="DW102" s="45"/>
      <c r="DX102" s="45"/>
      <c r="DY102" s="45"/>
      <c r="DZ102" s="45"/>
      <c r="EA102" s="45"/>
      <c r="EB102" s="45"/>
      <c r="EC102" s="45"/>
      <c r="ED102" s="45"/>
      <c r="EE102" s="45"/>
      <c r="EF102" s="45"/>
      <c r="EG102" s="45"/>
      <c r="EH102" s="45"/>
      <c r="EI102" s="45"/>
      <c r="EJ102" s="45"/>
      <c r="EK102" s="45"/>
      <c r="EL102" s="45"/>
    </row>
    <row r="103" spans="1:142" s="106" customFormat="1" outlineLevel="1">
      <c r="A103" s="45"/>
      <c r="B103" s="1152" t="s">
        <v>556</v>
      </c>
      <c r="C103" s="1154"/>
      <c r="D103" s="1131">
        <f>IF(C103="",0, IFERROR(INDEX('Narrative &amp; Measures'!$C$28:$C$67,MATCH(C103,'Narrative &amp; Measures'!$A$28:$A$67,0)),0))</f>
        <v>0</v>
      </c>
      <c r="E103" s="1131">
        <f>IF(C103="",0, IFERROR(INDEX('Narrative &amp; Measures'!$U$28:$U$67,MATCH(C103,'Narrative &amp; Measures'!$A$28:$A$67,0)),0))</f>
        <v>0</v>
      </c>
      <c r="F103" s="1131">
        <f>IF(E103&gt;'Building Info &amp; Assumptions'!$E$61,E103,0)</f>
        <v>0</v>
      </c>
      <c r="G103" s="1131">
        <f>IF(E103&lt;'Building Info &amp; Assumptions'!$E$61,E103,0)</f>
        <v>0</v>
      </c>
      <c r="H103" s="1167"/>
      <c r="I103" s="1128"/>
      <c r="J103" s="4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row>
    <row r="104" spans="1:142" s="106" customFormat="1" outlineLevel="1">
      <c r="A104" s="45"/>
      <c r="B104" s="1152" t="s">
        <v>557</v>
      </c>
      <c r="C104" s="1154"/>
      <c r="D104" s="1131">
        <f>IF(C104="",0, IFERROR(INDEX('Narrative &amp; Measures'!$C$28:$C$67,MATCH(C104,'Narrative &amp; Measures'!$A$28:$A$67,0)),0))</f>
        <v>0</v>
      </c>
      <c r="E104" s="1131">
        <f>IF(C104="",0, IFERROR(INDEX('Narrative &amp; Measures'!$U$28:$U$67,MATCH(C104,'Narrative &amp; Measures'!$A$28:$A$67,0)),0))</f>
        <v>0</v>
      </c>
      <c r="F104" s="1131">
        <f>IF(E104&gt;'Building Info &amp; Assumptions'!$E$61,E104,0)</f>
        <v>0</v>
      </c>
      <c r="G104" s="1131">
        <f>IF(E104&lt;'Building Info &amp; Assumptions'!$E$61,E104,0)</f>
        <v>0</v>
      </c>
      <c r="H104" s="1167"/>
      <c r="I104" s="1128"/>
      <c r="J104" s="4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row>
    <row r="105" spans="1:142" s="106" customFormat="1" outlineLevel="1">
      <c r="A105" s="45"/>
      <c r="B105" s="1152" t="s">
        <v>558</v>
      </c>
      <c r="C105" s="1154"/>
      <c r="D105" s="1131">
        <f>IF(C105="",0, IFERROR(INDEX('Narrative &amp; Measures'!$C$28:$C$67,MATCH(C105,'Narrative &amp; Measures'!$A$28:$A$67,0)),0))</f>
        <v>0</v>
      </c>
      <c r="E105" s="1131">
        <f>IF(C105="",0, IFERROR(INDEX('Narrative &amp; Measures'!$U$28:$U$67,MATCH(C105,'Narrative &amp; Measures'!$A$28:$A$67,0)),0))</f>
        <v>0</v>
      </c>
      <c r="F105" s="1131">
        <f>IF(E105&gt;'Building Info &amp; Assumptions'!$E$61,E105,0)</f>
        <v>0</v>
      </c>
      <c r="G105" s="1131">
        <f>IF(E105&lt;'Building Info &amp; Assumptions'!$E$61,E105,0)</f>
        <v>0</v>
      </c>
      <c r="H105" s="1167"/>
      <c r="I105" s="1128"/>
      <c r="J105" s="4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c r="DC105" s="45"/>
      <c r="DD105" s="45"/>
      <c r="DE105" s="45"/>
      <c r="DF105" s="45"/>
      <c r="DG105" s="45"/>
      <c r="DH105" s="45"/>
      <c r="DI105" s="45"/>
      <c r="DJ105" s="45"/>
      <c r="DK105" s="45"/>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row>
    <row r="106" spans="1:142" s="106" customFormat="1" outlineLevel="1">
      <c r="A106" s="45"/>
      <c r="B106" s="1152" t="s">
        <v>559</v>
      </c>
      <c r="C106" s="1154"/>
      <c r="D106" s="1131">
        <f>IF(C106="",0, IFERROR(INDEX('Narrative &amp; Measures'!$C$28:$C$67,MATCH(C106,'Narrative &amp; Measures'!$A$28:$A$67,0)),0))</f>
        <v>0</v>
      </c>
      <c r="E106" s="1131">
        <f>IF(C106="",0, IFERROR(INDEX('Narrative &amp; Measures'!$U$28:$U$67,MATCH(C106,'Narrative &amp; Measures'!$A$28:$A$67,0)),0))</f>
        <v>0</v>
      </c>
      <c r="F106" s="1131">
        <f>IF(E106&gt;'Building Info &amp; Assumptions'!$E$61,E106,0)</f>
        <v>0</v>
      </c>
      <c r="G106" s="1131">
        <f>IF(E106&lt;'Building Info &amp; Assumptions'!$E$61,E106,0)</f>
        <v>0</v>
      </c>
      <c r="H106" s="1167"/>
      <c r="I106" s="1128"/>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c r="CZ106" s="45"/>
      <c r="DA106" s="45"/>
      <c r="DB106" s="45"/>
      <c r="DC106" s="45"/>
      <c r="DD106" s="45"/>
      <c r="DE106" s="45"/>
      <c r="DF106" s="45"/>
      <c r="DG106" s="45"/>
      <c r="DH106" s="45"/>
      <c r="DI106" s="45"/>
      <c r="DJ106" s="45"/>
      <c r="DK106" s="45"/>
      <c r="DL106" s="45"/>
      <c r="DM106" s="45"/>
      <c r="DN106" s="45"/>
      <c r="DO106" s="45"/>
      <c r="DP106" s="45"/>
      <c r="DQ106" s="45"/>
      <c r="DR106" s="45"/>
      <c r="DS106" s="45"/>
      <c r="DT106" s="45"/>
      <c r="DU106" s="45"/>
      <c r="DV106" s="45"/>
      <c r="DW106" s="45"/>
      <c r="DX106" s="45"/>
      <c r="DY106" s="45"/>
      <c r="DZ106" s="45"/>
      <c r="EA106" s="45"/>
      <c r="EB106" s="45"/>
      <c r="EC106" s="45"/>
      <c r="ED106" s="45"/>
      <c r="EE106" s="45"/>
      <c r="EF106" s="45"/>
      <c r="EG106" s="45"/>
      <c r="EH106" s="45"/>
      <c r="EI106" s="45"/>
      <c r="EJ106" s="45"/>
      <c r="EK106" s="45"/>
      <c r="EL106" s="45"/>
    </row>
    <row r="107" spans="1:142" s="106" customFormat="1" ht="15.95" outlineLevel="1" thickBot="1">
      <c r="A107" s="45"/>
      <c r="B107" s="1152" t="s">
        <v>560</v>
      </c>
      <c r="C107" s="1157"/>
      <c r="D107" s="1158">
        <f>IF(C107="",0, IFERROR(INDEX('Narrative &amp; Measures'!$C$28:$C$67,MATCH(C107,'Narrative &amp; Measures'!$A$28:$A$67,0)),0))</f>
        <v>0</v>
      </c>
      <c r="E107" s="1158">
        <f>IF(C107="",0, IFERROR(INDEX('Narrative &amp; Measures'!$U$28:$U$67,MATCH(C107,'Narrative &amp; Measures'!$A$28:$A$67,0)),0))</f>
        <v>0</v>
      </c>
      <c r="F107" s="1158">
        <f>IF(E107&gt;'Building Info &amp; Assumptions'!$E$61,E107,0)</f>
        <v>0</v>
      </c>
      <c r="G107" s="1158">
        <f>IF(E107&lt;'Building Info &amp; Assumptions'!$E$61,E107,0)</f>
        <v>0</v>
      </c>
      <c r="H107" s="1167"/>
      <c r="I107" s="1159"/>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D107" s="45"/>
      <c r="DE107" s="45"/>
      <c r="DF107" s="45"/>
      <c r="DG107" s="45"/>
      <c r="DH107" s="45"/>
      <c r="DI107" s="45"/>
      <c r="DJ107" s="45"/>
      <c r="DK107" s="45"/>
      <c r="DL107" s="45"/>
      <c r="DM107" s="45"/>
      <c r="DN107" s="45"/>
      <c r="DO107" s="45"/>
      <c r="DP107" s="45"/>
      <c r="DQ107" s="45"/>
      <c r="DR107" s="45"/>
      <c r="DS107" s="45"/>
      <c r="DT107" s="45"/>
      <c r="DU107" s="45"/>
      <c r="DV107" s="45"/>
      <c r="DW107" s="45"/>
      <c r="DX107" s="45"/>
      <c r="DY107" s="45"/>
      <c r="DZ107" s="45"/>
      <c r="EA107" s="45"/>
      <c r="EB107" s="45"/>
      <c r="EC107" s="45"/>
      <c r="ED107" s="45"/>
      <c r="EE107" s="45"/>
      <c r="EF107" s="45"/>
      <c r="EG107" s="45"/>
      <c r="EH107" s="45"/>
      <c r="EI107" s="45"/>
      <c r="EJ107" s="45"/>
      <c r="EK107" s="45"/>
      <c r="EL107" s="45"/>
    </row>
    <row r="108" spans="1:142" s="106" customFormat="1" ht="17.100000000000001" thickBot="1">
      <c r="A108" s="45"/>
      <c r="B108" s="497" t="s">
        <v>400</v>
      </c>
      <c r="C108" s="498" t="s">
        <v>561</v>
      </c>
      <c r="D108" s="597">
        <v>0</v>
      </c>
      <c r="E108" s="597">
        <v>0</v>
      </c>
      <c r="F108" s="597">
        <v>0</v>
      </c>
      <c r="G108" s="597">
        <f>IF(B108="No",0,AVERAGE('Operating Statements'!$B$236:$U$236))</f>
        <v>47367.656325428346</v>
      </c>
      <c r="H108" s="703"/>
      <c r="I108" s="500">
        <v>1</v>
      </c>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c r="DC108" s="45"/>
      <c r="DD108" s="45"/>
      <c r="DE108" s="45"/>
      <c r="DF108" s="45"/>
      <c r="DG108" s="45"/>
      <c r="DH108" s="45"/>
      <c r="DI108" s="45"/>
      <c r="DJ108" s="45"/>
      <c r="DK108" s="45"/>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row>
    <row r="109" spans="1:142" s="106" customFormat="1" ht="15.95" thickBot="1">
      <c r="A109" s="45"/>
      <c r="B109" s="492" t="s">
        <v>536</v>
      </c>
      <c r="C109" s="493" t="s">
        <v>562</v>
      </c>
      <c r="D109" s="494">
        <f>SUM(D88:D108)</f>
        <v>597000</v>
      </c>
      <c r="E109" s="494">
        <f>SUM(E88:E108)</f>
        <v>7500000</v>
      </c>
      <c r="F109" s="494">
        <f>SUM(F88:F108)</f>
        <v>7500000</v>
      </c>
      <c r="G109" s="494">
        <f>SUM(G88:G108)</f>
        <v>47367.656325428346</v>
      </c>
      <c r="H109" s="702"/>
      <c r="I109" s="49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row>
    <row r="110" spans="1:142" s="45" customFormat="1">
      <c r="B110" s="43"/>
      <c r="C110" s="43"/>
      <c r="D110" s="462"/>
      <c r="E110" s="462"/>
      <c r="F110" s="25"/>
    </row>
    <row r="111" spans="1:142" s="45" customFormat="1">
      <c r="B111" s="43"/>
      <c r="C111" s="43"/>
      <c r="D111" s="462"/>
      <c r="E111" s="462"/>
      <c r="F111" s="25"/>
    </row>
    <row r="112" spans="1:142" s="466" customFormat="1">
      <c r="B112" s="463"/>
      <c r="C112" s="463"/>
      <c r="D112" s="464"/>
      <c r="E112" s="464"/>
      <c r="F112" s="465"/>
    </row>
    <row r="113" spans="2:6" s="466" customFormat="1">
      <c r="B113" s="463"/>
      <c r="C113" s="463"/>
      <c r="D113" s="464"/>
      <c r="E113" s="464"/>
      <c r="F113" s="465"/>
    </row>
    <row r="114" spans="2:6" s="466" customFormat="1">
      <c r="B114" s="463"/>
      <c r="C114" s="463"/>
      <c r="D114" s="464"/>
      <c r="E114" s="464"/>
      <c r="F114" s="465"/>
    </row>
    <row r="115" spans="2:6" s="45" customFormat="1"/>
    <row r="116" spans="2:6" s="45" customFormat="1"/>
    <row r="117" spans="2:6" s="45" customFormat="1"/>
    <row r="118" spans="2:6" s="45" customFormat="1"/>
    <row r="119" spans="2:6" s="45" customFormat="1"/>
    <row r="120" spans="2:6" s="45" customFormat="1"/>
    <row r="121" spans="2:6" s="45" customFormat="1"/>
    <row r="122" spans="2:6" s="45" customFormat="1"/>
    <row r="123" spans="2:6" s="45" customFormat="1"/>
    <row r="124" spans="2:6" s="45" customFormat="1"/>
    <row r="125" spans="2:6" s="45" customFormat="1"/>
    <row r="126" spans="2:6" s="45" customFormat="1"/>
    <row r="127" spans="2:6" s="45" customFormat="1"/>
    <row r="128" spans="2:6"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229" customFormat="1"/>
    <row r="270" s="229" customFormat="1"/>
    <row r="271" s="229" customFormat="1"/>
    <row r="272" s="229" customFormat="1"/>
    <row r="273" s="229" customFormat="1"/>
    <row r="274" s="229" customFormat="1"/>
    <row r="275" s="229" customFormat="1"/>
    <row r="276" s="229" customFormat="1"/>
    <row r="277" s="229" customFormat="1"/>
    <row r="278" s="229" customFormat="1"/>
    <row r="279" s="229" customFormat="1"/>
    <row r="280" s="229" customFormat="1"/>
    <row r="281" s="229" customFormat="1"/>
    <row r="282" s="229" customFormat="1"/>
    <row r="283" s="229" customFormat="1"/>
    <row r="284" s="229" customFormat="1"/>
    <row r="285" s="229" customFormat="1"/>
    <row r="286" s="229" customFormat="1"/>
    <row r="287" s="229" customFormat="1"/>
    <row r="288" s="229" customFormat="1"/>
    <row r="289" s="229" customFormat="1"/>
    <row r="290" s="229" customFormat="1"/>
    <row r="291" s="229" customFormat="1"/>
    <row r="292" s="229" customFormat="1"/>
    <row r="293" s="229" customFormat="1"/>
    <row r="294" s="229" customFormat="1"/>
    <row r="295" s="229" customFormat="1"/>
    <row r="296" s="229" customFormat="1"/>
    <row r="297" s="229" customFormat="1"/>
    <row r="298" s="229" customFormat="1"/>
    <row r="299" s="229" customFormat="1"/>
    <row r="300" s="229" customFormat="1"/>
    <row r="301" s="229" customFormat="1"/>
    <row r="302" s="229" customFormat="1"/>
    <row r="303" s="229" customFormat="1"/>
    <row r="304" s="229" customFormat="1"/>
    <row r="305" s="229" customFormat="1"/>
    <row r="306" s="229" customFormat="1"/>
    <row r="307" s="229" customFormat="1"/>
    <row r="308" s="229" customFormat="1"/>
    <row r="309" s="229" customFormat="1"/>
    <row r="310" s="229" customFormat="1"/>
    <row r="311" s="229" customFormat="1"/>
    <row r="312" s="229" customFormat="1"/>
    <row r="313" s="229" customFormat="1"/>
    <row r="314" s="229" customFormat="1"/>
    <row r="315" s="229" customFormat="1"/>
    <row r="316" s="229" customFormat="1"/>
    <row r="317" s="229" customFormat="1"/>
    <row r="318" s="229" customFormat="1"/>
    <row r="319" s="445" customFormat="1"/>
    <row r="320" s="445" customFormat="1"/>
    <row r="321" s="445" customFormat="1"/>
    <row r="322" s="445" customFormat="1"/>
    <row r="323" s="445" customFormat="1"/>
    <row r="324" s="445" customFormat="1"/>
    <row r="325" s="445" customFormat="1"/>
    <row r="326" s="445" customFormat="1"/>
    <row r="327" s="445" customFormat="1"/>
    <row r="328" s="445" customFormat="1"/>
    <row r="329" s="445" customFormat="1"/>
    <row r="330" s="445" customFormat="1"/>
    <row r="331" s="445" customFormat="1"/>
    <row r="332" s="445" customFormat="1"/>
    <row r="333" s="445" customFormat="1"/>
    <row r="334" s="445" customFormat="1"/>
    <row r="335" s="445" customFormat="1"/>
    <row r="336" s="445" customFormat="1"/>
    <row r="337" s="445" customFormat="1"/>
    <row r="338" s="445" customFormat="1"/>
    <row r="339" s="445" customFormat="1"/>
    <row r="340" s="445" customFormat="1"/>
    <row r="341" s="445" customFormat="1"/>
    <row r="342" s="445" customFormat="1"/>
    <row r="343" s="445" customFormat="1"/>
    <row r="344" s="445" customFormat="1"/>
    <row r="345" s="445" customFormat="1"/>
    <row r="346" s="445" customFormat="1"/>
    <row r="347" s="445" customFormat="1"/>
    <row r="348" s="445" customFormat="1"/>
    <row r="349" s="445" customFormat="1"/>
    <row r="350" s="445" customFormat="1"/>
    <row r="351" s="445" customFormat="1"/>
    <row r="352" s="445" customFormat="1"/>
    <row r="353" s="445" customFormat="1"/>
    <row r="354" s="445" customFormat="1"/>
    <row r="355" s="445" customFormat="1"/>
    <row r="356" s="445" customFormat="1"/>
    <row r="357" s="445" customFormat="1"/>
    <row r="358" s="445" customFormat="1"/>
    <row r="359" s="445" customFormat="1"/>
    <row r="360" s="445" customFormat="1"/>
    <row r="361" s="445" customFormat="1"/>
    <row r="362" s="445" customFormat="1"/>
    <row r="363" s="445" customFormat="1"/>
    <row r="364" s="445" customFormat="1"/>
    <row r="365" s="445" customFormat="1"/>
    <row r="366" s="445" customFormat="1"/>
    <row r="367" s="445" customFormat="1"/>
    <row r="368" s="445" customFormat="1"/>
    <row r="369" s="445" customFormat="1"/>
    <row r="370" s="445" customFormat="1"/>
    <row r="371" s="445" customFormat="1"/>
    <row r="372" s="445" customFormat="1"/>
    <row r="373" s="445" customFormat="1"/>
    <row r="374" s="445" customFormat="1"/>
    <row r="375" s="445" customFormat="1"/>
    <row r="376" s="445" customFormat="1"/>
    <row r="377" s="445" customFormat="1"/>
    <row r="378" s="445" customFormat="1"/>
    <row r="379" s="445" customFormat="1"/>
    <row r="380" s="445" customFormat="1"/>
    <row r="381" s="445" customFormat="1"/>
    <row r="382" s="445" customFormat="1"/>
    <row r="383" s="445" customFormat="1"/>
    <row r="384" s="445" customFormat="1"/>
    <row r="385" s="445" customFormat="1"/>
    <row r="386" s="445" customFormat="1"/>
    <row r="387" s="445" customFormat="1"/>
    <row r="388" s="445" customFormat="1"/>
    <row r="389" s="445" customFormat="1"/>
    <row r="390" s="445" customFormat="1"/>
    <row r="391" s="445" customFormat="1"/>
    <row r="392" s="445" customFormat="1"/>
    <row r="393" s="445" customFormat="1"/>
    <row r="394" s="445" customFormat="1"/>
    <row r="395" s="445" customFormat="1"/>
    <row r="396" s="445" customFormat="1"/>
    <row r="397" s="445" customFormat="1"/>
    <row r="398" s="445" customFormat="1"/>
    <row r="399" s="445" customFormat="1"/>
    <row r="400" s="445" customFormat="1"/>
    <row r="401" s="445" customFormat="1"/>
    <row r="402" s="445" customFormat="1"/>
    <row r="403" s="445" customFormat="1"/>
    <row r="404" s="445" customFormat="1"/>
    <row r="405" s="445" customFormat="1"/>
    <row r="406" s="445" customFormat="1"/>
    <row r="407" s="445" customFormat="1"/>
    <row r="408" s="445" customFormat="1"/>
    <row r="409" s="445" customFormat="1"/>
    <row r="410" s="445" customFormat="1"/>
    <row r="411" s="445" customFormat="1"/>
    <row r="412" s="445" customFormat="1"/>
    <row r="413" s="445" customFormat="1"/>
    <row r="414" s="445" customFormat="1"/>
    <row r="415" s="445" customFormat="1"/>
    <row r="416" s="445" customFormat="1"/>
    <row r="417" s="445" customFormat="1"/>
    <row r="418" s="445" customFormat="1"/>
    <row r="419" s="445" customFormat="1"/>
    <row r="420" s="445" customFormat="1"/>
    <row r="421" s="445" customFormat="1"/>
    <row r="422" s="445" customFormat="1"/>
    <row r="423" s="445" customFormat="1"/>
    <row r="424" s="445" customFormat="1"/>
    <row r="425" s="445" customFormat="1"/>
    <row r="426" s="445" customFormat="1"/>
    <row r="427" s="445" customFormat="1"/>
    <row r="428" s="445" customFormat="1"/>
    <row r="429" s="445" customFormat="1"/>
    <row r="430" s="445" customFormat="1"/>
    <row r="431" s="445" customFormat="1"/>
    <row r="432" s="445" customFormat="1"/>
    <row r="433" s="445" customFormat="1"/>
    <row r="434" s="445" customFormat="1"/>
    <row r="435" s="4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row r="1241" s="45" customFormat="1"/>
    <row r="1242" s="45" customFormat="1"/>
    <row r="1243" s="45" customFormat="1"/>
    <row r="1244" s="45" customFormat="1"/>
    <row r="1245" s="45" customFormat="1"/>
    <row r="1246" s="45" customFormat="1"/>
    <row r="1247" s="45" customFormat="1"/>
    <row r="1248" s="45" customFormat="1"/>
    <row r="1249" s="45" customFormat="1"/>
    <row r="1250" s="45" customFormat="1"/>
    <row r="1251" s="45" customFormat="1"/>
    <row r="1252" s="45" customFormat="1"/>
    <row r="1253" s="45" customFormat="1"/>
    <row r="1254" s="45" customFormat="1"/>
    <row r="1255" s="45" customFormat="1"/>
    <row r="1256" s="45" customFormat="1"/>
    <row r="1257" s="45" customFormat="1"/>
    <row r="1258" s="45" customFormat="1"/>
    <row r="1259" s="45" customFormat="1"/>
    <row r="1260" s="45" customFormat="1"/>
    <row r="1261" s="45" customFormat="1"/>
    <row r="1262" s="45" customFormat="1"/>
    <row r="1263" s="45" customFormat="1"/>
    <row r="1264" s="45" customFormat="1"/>
    <row r="1265" s="45" customFormat="1"/>
    <row r="1266" s="45" customFormat="1"/>
    <row r="1267" s="45" customFormat="1"/>
    <row r="1268" s="45" customFormat="1"/>
    <row r="1269" s="45" customFormat="1"/>
    <row r="1270" s="45" customFormat="1"/>
    <row r="1271" s="45" customFormat="1"/>
    <row r="1272" s="45" customFormat="1"/>
    <row r="1273" s="45" customFormat="1"/>
    <row r="1274" s="45" customFormat="1"/>
    <row r="1275" s="45" customFormat="1"/>
    <row r="1276" s="45" customFormat="1"/>
    <row r="1277" s="45" customFormat="1"/>
    <row r="1278" s="45" customFormat="1"/>
    <row r="1279" s="45" customFormat="1"/>
    <row r="1280" s="45" customFormat="1"/>
    <row r="1281" s="45" customFormat="1"/>
    <row r="1282" s="45" customFormat="1"/>
    <row r="1283" s="45" customFormat="1"/>
    <row r="1284" s="45" customFormat="1"/>
    <row r="1285" s="45" customFormat="1"/>
    <row r="1286" s="45" customFormat="1"/>
    <row r="1287" s="45" customFormat="1"/>
    <row r="1288" s="45" customFormat="1"/>
    <row r="1289" s="45" customFormat="1"/>
    <row r="1290" s="45" customFormat="1"/>
    <row r="1291" s="45" customFormat="1"/>
    <row r="1292" s="45" customFormat="1"/>
    <row r="1293" s="45" customFormat="1"/>
    <row r="1294" s="45" customFormat="1"/>
    <row r="1295" s="45" customFormat="1"/>
    <row r="1296" s="45" customFormat="1"/>
    <row r="1297" s="45" customFormat="1"/>
    <row r="1298" s="45" customFormat="1"/>
    <row r="1299" s="45" customFormat="1"/>
    <row r="1300" s="45" customFormat="1"/>
    <row r="1301" s="45" customFormat="1"/>
    <row r="1302" s="45" customFormat="1"/>
    <row r="1303" s="45" customFormat="1"/>
    <row r="1304" s="45" customFormat="1"/>
    <row r="1305" s="45" customFormat="1"/>
    <row r="1306" s="45" customFormat="1"/>
    <row r="1307" s="45" customFormat="1"/>
    <row r="1308" s="45" customFormat="1"/>
    <row r="1309" s="45" customFormat="1"/>
    <row r="1310" s="45" customFormat="1"/>
    <row r="1311" s="45" customFormat="1"/>
    <row r="1312" s="45" customFormat="1"/>
    <row r="1313" s="45" customFormat="1"/>
    <row r="1314" s="45" customFormat="1"/>
    <row r="1315" s="45" customFormat="1"/>
    <row r="1316" s="45" customFormat="1"/>
    <row r="1317" s="45" customFormat="1"/>
    <row r="1318" s="45" customFormat="1"/>
    <row r="1319" s="45" customFormat="1"/>
    <row r="1320" s="45" customFormat="1"/>
    <row r="1321" s="45" customFormat="1"/>
    <row r="1322" s="45" customFormat="1"/>
    <row r="1323" s="45" customFormat="1"/>
    <row r="1324" s="45" customFormat="1"/>
    <row r="1325" s="45" customFormat="1"/>
    <row r="1326" s="45" customFormat="1"/>
    <row r="1327" s="45" customFormat="1"/>
    <row r="1328" s="45" customFormat="1"/>
    <row r="1329" s="45" customFormat="1"/>
    <row r="1330" s="45" customFormat="1"/>
    <row r="1331" s="45" customFormat="1"/>
    <row r="1332" s="45" customFormat="1"/>
    <row r="1333" s="45" customFormat="1"/>
    <row r="1334" s="45" customFormat="1"/>
    <row r="1335" s="45" customFormat="1"/>
    <row r="1336" s="45" customFormat="1"/>
    <row r="1337" s="45" customFormat="1"/>
    <row r="1338" s="45" customFormat="1"/>
    <row r="1339" s="45" customFormat="1"/>
    <row r="1340" s="45" customFormat="1"/>
    <row r="1341" s="45" customFormat="1"/>
    <row r="1342" s="45" customFormat="1"/>
    <row r="1343" s="45" customFormat="1"/>
    <row r="1344" s="45" customFormat="1"/>
    <row r="1345" s="45" customFormat="1"/>
    <row r="1346" s="45" customFormat="1"/>
    <row r="1347" s="45" customFormat="1"/>
    <row r="1348" s="45" customFormat="1"/>
    <row r="1349" s="45" customFormat="1"/>
    <row r="1350" s="45" customFormat="1"/>
    <row r="1351" s="45" customFormat="1"/>
    <row r="1352" s="45" customFormat="1"/>
    <row r="1353" s="45" customFormat="1"/>
    <row r="1354" s="45" customFormat="1"/>
    <row r="1355" s="45" customFormat="1"/>
    <row r="1356" s="45" customFormat="1"/>
    <row r="1357" s="45" customFormat="1"/>
    <row r="1358" s="45" customFormat="1"/>
    <row r="1359" s="45" customFormat="1"/>
    <row r="1360" s="45" customFormat="1"/>
    <row r="1361" s="45" customFormat="1"/>
    <row r="1362" s="45" customFormat="1"/>
    <row r="1363" s="45" customFormat="1"/>
    <row r="1364" s="45" customFormat="1"/>
    <row r="1365" s="45" customFormat="1"/>
    <row r="1366" s="45" customFormat="1"/>
    <row r="1367" s="45" customFormat="1"/>
    <row r="1368" s="45" customFormat="1"/>
    <row r="1369" s="45" customFormat="1"/>
    <row r="1370" s="45" customFormat="1"/>
    <row r="1371" s="45" customFormat="1"/>
    <row r="1372" s="45" customFormat="1"/>
    <row r="1373" s="45" customFormat="1"/>
    <row r="1374" s="45" customFormat="1"/>
    <row r="1375" s="45" customFormat="1"/>
    <row r="1376" s="45" customFormat="1"/>
    <row r="1377" s="45" customFormat="1"/>
    <row r="1378" s="45" customFormat="1"/>
    <row r="1379" s="45" customFormat="1"/>
    <row r="1380" s="45" customFormat="1"/>
    <row r="1381" s="45" customFormat="1"/>
    <row r="1382" s="45" customFormat="1"/>
    <row r="1383" s="45" customFormat="1"/>
    <row r="1384" s="45" customFormat="1"/>
    <row r="1385" s="45" customFormat="1"/>
    <row r="1386" s="45" customFormat="1"/>
    <row r="1387" s="45" customFormat="1"/>
    <row r="1388" s="45" customFormat="1"/>
    <row r="1389" s="45" customFormat="1"/>
    <row r="1390" s="45" customFormat="1"/>
    <row r="1391" s="45" customFormat="1"/>
    <row r="1392" s="45" customFormat="1"/>
    <row r="1393" s="45" customFormat="1"/>
    <row r="1394" s="45" customFormat="1"/>
    <row r="1395" s="45" customFormat="1"/>
    <row r="1396" s="45" customFormat="1"/>
    <row r="1397" s="45" customFormat="1"/>
    <row r="1398" s="45" customFormat="1"/>
    <row r="1399" s="45" customFormat="1"/>
    <row r="1400" s="45" customFormat="1"/>
    <row r="1401" s="45" customFormat="1"/>
    <row r="1402" s="45" customFormat="1"/>
    <row r="1403" s="45" customFormat="1"/>
    <row r="1404" s="45" customFormat="1"/>
    <row r="1405" s="45" customFormat="1"/>
    <row r="1406" s="45" customFormat="1"/>
    <row r="1407" s="45" customFormat="1"/>
    <row r="1408" s="45" customFormat="1"/>
    <row r="1409" s="45" customFormat="1"/>
    <row r="1410" s="45" customFormat="1"/>
    <row r="1411" s="45" customFormat="1"/>
    <row r="1412" s="45" customFormat="1"/>
    <row r="1413" s="45" customFormat="1"/>
    <row r="1414" s="45" customFormat="1"/>
    <row r="1415" s="45" customFormat="1"/>
    <row r="1416" s="45" customFormat="1"/>
    <row r="1417" s="45" customFormat="1"/>
    <row r="1418" s="45" customFormat="1"/>
    <row r="1419" s="45" customFormat="1"/>
    <row r="1420" s="45" customFormat="1"/>
    <row r="1421" s="45" customFormat="1"/>
    <row r="1422" s="45" customFormat="1"/>
    <row r="1423" s="45" customFormat="1"/>
    <row r="1424" s="45" customFormat="1"/>
    <row r="1425" s="45" customFormat="1"/>
    <row r="1426" s="45" customFormat="1"/>
    <row r="1427" s="45" customFormat="1"/>
    <row r="1428" s="45" customFormat="1"/>
    <row r="1429" s="45" customFormat="1"/>
    <row r="1430" s="45" customFormat="1"/>
    <row r="1431" s="45" customFormat="1"/>
    <row r="1432" s="45" customFormat="1"/>
    <row r="1433" s="45" customFormat="1"/>
    <row r="1434" s="45" customFormat="1"/>
    <row r="1435" s="45" customFormat="1"/>
    <row r="1436" s="45" customFormat="1"/>
    <row r="1437" s="45" customFormat="1"/>
    <row r="1438" s="45" customFormat="1"/>
    <row r="1439" s="45" customFormat="1"/>
    <row r="1440" s="45" customFormat="1"/>
    <row r="1441" s="45" customFormat="1"/>
    <row r="1442" s="45" customFormat="1"/>
    <row r="1443" s="45" customFormat="1"/>
    <row r="1444" s="45" customFormat="1"/>
    <row r="1445" s="45" customFormat="1"/>
    <row r="1446" s="45" customFormat="1"/>
    <row r="1447" s="45" customFormat="1"/>
    <row r="1448" s="45" customFormat="1"/>
    <row r="1449" s="45" customFormat="1"/>
    <row r="1450" s="45" customFormat="1"/>
    <row r="1451" s="45" customFormat="1"/>
    <row r="1452" s="45" customFormat="1"/>
    <row r="1453" s="45" customFormat="1"/>
    <row r="1454" s="45" customFormat="1"/>
    <row r="1455" s="45" customFormat="1"/>
    <row r="1456" s="45" customFormat="1"/>
    <row r="1457" s="45" customFormat="1"/>
    <row r="1458" s="45" customFormat="1"/>
    <row r="1459" s="45" customFormat="1"/>
    <row r="1460" s="45" customFormat="1"/>
    <row r="1461" s="45" customFormat="1"/>
    <row r="1462" s="45" customFormat="1"/>
    <row r="1463" s="45" customFormat="1"/>
    <row r="1464" s="45" customFormat="1"/>
    <row r="1465" s="45" customFormat="1"/>
    <row r="1466" s="45" customFormat="1"/>
    <row r="1467" s="45" customFormat="1"/>
    <row r="1468" s="45" customFormat="1"/>
    <row r="1469" s="45" customFormat="1"/>
    <row r="1470" s="45" customFormat="1"/>
    <row r="1471" s="45" customFormat="1"/>
    <row r="1472" s="45" customFormat="1"/>
    <row r="1473" s="45" customFormat="1"/>
    <row r="1474" s="45" customFormat="1"/>
    <row r="1475" s="45" customFormat="1"/>
    <row r="1476" s="45" customFormat="1"/>
    <row r="1477" s="45" customFormat="1"/>
    <row r="1478" s="45" customFormat="1"/>
    <row r="1479" s="45" customFormat="1"/>
    <row r="1480" s="45" customFormat="1"/>
    <row r="1481" s="45" customFormat="1"/>
    <row r="1482" s="45" customFormat="1"/>
    <row r="1483" s="45" customFormat="1"/>
    <row r="1484" s="45" customFormat="1"/>
    <row r="1485" s="45" customFormat="1"/>
    <row r="1486" s="45" customFormat="1"/>
    <row r="1487" s="45" customFormat="1"/>
    <row r="1488" s="45" customFormat="1"/>
    <row r="1489" s="45" customFormat="1"/>
    <row r="1490" s="45" customFormat="1"/>
    <row r="1491" s="45" customFormat="1"/>
    <row r="1492" s="45" customFormat="1"/>
    <row r="1493" s="45" customFormat="1"/>
    <row r="1494" s="45" customFormat="1"/>
    <row r="1495" s="45" customFormat="1"/>
    <row r="1496" s="45" customFormat="1"/>
    <row r="1497" s="45" customFormat="1"/>
    <row r="1498" s="45" customFormat="1"/>
    <row r="1499" s="45" customFormat="1"/>
    <row r="1500" s="45" customFormat="1"/>
    <row r="1501" s="45" customFormat="1"/>
    <row r="1502" s="45" customFormat="1"/>
    <row r="1503" s="45" customFormat="1"/>
    <row r="1504" s="45" customFormat="1"/>
    <row r="1505" s="45" customFormat="1"/>
    <row r="1506" s="45" customFormat="1"/>
    <row r="1507" s="45" customFormat="1"/>
    <row r="1508" s="45" customFormat="1"/>
    <row r="1509" s="45" customFormat="1"/>
    <row r="1510" s="45" customFormat="1"/>
    <row r="1511" s="45" customFormat="1"/>
    <row r="1512" s="45" customFormat="1"/>
    <row r="1513" s="45" customFormat="1"/>
    <row r="1514" s="45" customFormat="1"/>
    <row r="1515" s="45" customFormat="1"/>
    <row r="1516" s="45" customFormat="1"/>
    <row r="1517" s="45" customFormat="1"/>
    <row r="1518" s="45" customFormat="1"/>
    <row r="1519" s="45" customFormat="1"/>
    <row r="1520" s="45" customFormat="1"/>
    <row r="1521" s="45" customFormat="1"/>
    <row r="1522" s="45" customFormat="1"/>
    <row r="1523" s="45" customFormat="1"/>
    <row r="1524" s="45" customFormat="1"/>
    <row r="1525" s="45" customFormat="1"/>
    <row r="1526" s="45" customFormat="1"/>
    <row r="1527" s="45" customFormat="1"/>
    <row r="1528" s="45" customFormat="1"/>
    <row r="1529" s="45" customFormat="1"/>
    <row r="1530" s="45" customFormat="1"/>
    <row r="1531" s="45" customFormat="1"/>
    <row r="1532" s="45" customFormat="1"/>
    <row r="1533" s="45" customFormat="1"/>
    <row r="1534" s="45" customFormat="1"/>
    <row r="1535" s="45" customFormat="1"/>
    <row r="1536" s="45" customFormat="1"/>
    <row r="1537" s="45" customFormat="1"/>
    <row r="1538" s="45" customFormat="1"/>
    <row r="1539" s="45" customFormat="1"/>
    <row r="1540" s="45" customFormat="1"/>
    <row r="1541" s="45" customFormat="1"/>
    <row r="1542" s="45" customFormat="1"/>
    <row r="1543" s="45" customFormat="1"/>
    <row r="1544" s="45" customFormat="1"/>
    <row r="1545" s="45" customFormat="1"/>
    <row r="1546" s="45" customFormat="1"/>
    <row r="1547" s="45" customFormat="1"/>
    <row r="1548" s="45" customFormat="1"/>
    <row r="1549" s="45" customFormat="1"/>
    <row r="1550" s="45" customFormat="1"/>
    <row r="1551" s="45" customFormat="1"/>
    <row r="1552" s="45" customFormat="1"/>
    <row r="1553" s="45" customFormat="1"/>
    <row r="1554" s="45" customFormat="1"/>
    <row r="1555" s="45" customFormat="1"/>
    <row r="1556" s="45" customFormat="1"/>
    <row r="1557" s="45" customFormat="1"/>
    <row r="1558" s="45" customFormat="1"/>
    <row r="1559" s="45" customFormat="1"/>
    <row r="1560" s="45" customFormat="1"/>
    <row r="1561" s="45" customFormat="1"/>
    <row r="1562" s="45" customFormat="1"/>
    <row r="1563" s="45" customFormat="1"/>
    <row r="1564" s="45" customFormat="1"/>
    <row r="1565" s="45" customFormat="1"/>
    <row r="1566" s="45" customFormat="1"/>
    <row r="1567" s="45" customFormat="1"/>
    <row r="1568" s="45" customFormat="1"/>
    <row r="1569" s="45" customFormat="1"/>
    <row r="1570" s="45" customFormat="1"/>
    <row r="1571" s="45" customFormat="1"/>
    <row r="1572" s="45" customFormat="1"/>
    <row r="1573" s="45" customFormat="1"/>
    <row r="1574" s="45" customFormat="1"/>
    <row r="1575" s="45" customFormat="1"/>
    <row r="1576" s="45" customFormat="1"/>
    <row r="1577" s="45" customFormat="1"/>
    <row r="1578" s="45" customFormat="1"/>
    <row r="1579" s="45" customFormat="1"/>
    <row r="1580" s="45" customFormat="1"/>
    <row r="1581" s="45" customFormat="1"/>
    <row r="1582" s="45" customFormat="1"/>
    <row r="1583" s="45" customFormat="1"/>
    <row r="1584" s="45" customFormat="1"/>
    <row r="1585" s="45" customFormat="1"/>
    <row r="1586" s="45" customFormat="1"/>
    <row r="1587" s="45" customFormat="1"/>
    <row r="1588" s="45" customFormat="1"/>
    <row r="1589" s="45" customFormat="1"/>
    <row r="1590" s="45" customFormat="1"/>
    <row r="1591" s="45" customFormat="1"/>
    <row r="1592" s="45" customFormat="1"/>
    <row r="1593" s="45" customFormat="1"/>
    <row r="1594" s="45" customFormat="1"/>
    <row r="1595" s="45" customFormat="1"/>
    <row r="1596" s="45" customFormat="1"/>
    <row r="1597" s="45" customFormat="1"/>
    <row r="1598" s="45" customFormat="1"/>
    <row r="1599" s="45" customFormat="1"/>
    <row r="1600" s="45" customFormat="1"/>
    <row r="1601" s="45" customFormat="1"/>
    <row r="1602" s="45" customFormat="1"/>
    <row r="1603" s="45" customFormat="1"/>
    <row r="1604" s="45" customFormat="1"/>
    <row r="1605" s="45" customFormat="1"/>
    <row r="1606" s="45" customFormat="1"/>
    <row r="1607" s="45" customFormat="1"/>
    <row r="1608" s="45" customFormat="1"/>
    <row r="1609" s="45" customFormat="1"/>
    <row r="1610" s="45" customFormat="1"/>
    <row r="1611" s="45" customFormat="1"/>
    <row r="1612" s="45" customFormat="1"/>
    <row r="1613" s="45" customFormat="1"/>
    <row r="1614" s="45" customFormat="1"/>
    <row r="1615" s="45" customFormat="1"/>
    <row r="1616" s="45" customFormat="1"/>
    <row r="1617" s="45" customFormat="1"/>
    <row r="1618" s="45" customFormat="1"/>
    <row r="1619" s="45" customFormat="1"/>
    <row r="1620" s="45" customFormat="1"/>
    <row r="1621" s="45" customFormat="1"/>
    <row r="1622" s="45" customFormat="1"/>
    <row r="1623" s="45" customFormat="1"/>
    <row r="1624" s="45" customFormat="1"/>
    <row r="1625" s="45" customFormat="1"/>
    <row r="1626" s="45" customFormat="1"/>
    <row r="1627" s="45" customFormat="1"/>
    <row r="1628" s="45" customFormat="1"/>
    <row r="1629" s="45" customFormat="1"/>
    <row r="1630" s="45" customFormat="1"/>
    <row r="1631" s="45" customFormat="1"/>
    <row r="1632" s="45" customFormat="1"/>
    <row r="1633" s="45" customFormat="1"/>
    <row r="1634" s="45" customFormat="1"/>
    <row r="1635" s="45" customFormat="1"/>
    <row r="1636" s="45" customFormat="1"/>
    <row r="1637" s="45" customFormat="1"/>
    <row r="1638" s="45" customFormat="1"/>
    <row r="1639" s="45" customFormat="1"/>
    <row r="1640" s="45" customFormat="1"/>
    <row r="1641" s="45" customFormat="1"/>
    <row r="1642" s="45" customFormat="1"/>
    <row r="1643" s="45" customFormat="1"/>
    <row r="1644" s="45" customFormat="1"/>
    <row r="1645" s="45" customFormat="1"/>
    <row r="1646" s="45" customFormat="1"/>
    <row r="1647" s="45" customFormat="1"/>
    <row r="1648" s="45" customFormat="1"/>
    <row r="1649" s="45" customFormat="1"/>
    <row r="1650" s="45" customFormat="1"/>
    <row r="1651" s="45" customFormat="1"/>
    <row r="1652" s="45" customFormat="1"/>
    <row r="1653" s="45" customFormat="1"/>
    <row r="1654" s="45" customFormat="1"/>
    <row r="1655" s="45" customFormat="1"/>
    <row r="1656" s="45" customFormat="1"/>
    <row r="1657" s="45" customFormat="1"/>
    <row r="1658" s="45" customFormat="1"/>
    <row r="1659" s="45" customFormat="1"/>
    <row r="1660" s="45" customFormat="1"/>
    <row r="1661" s="45" customFormat="1"/>
    <row r="1662" s="45" customFormat="1"/>
    <row r="1663" s="45" customFormat="1"/>
    <row r="1664" s="45" customFormat="1"/>
    <row r="1665" s="45" customFormat="1"/>
    <row r="1666" s="45" customFormat="1"/>
    <row r="1667" s="45" customFormat="1"/>
    <row r="1668" s="45" customFormat="1"/>
    <row r="1669" s="45" customFormat="1"/>
    <row r="1670" s="45" customFormat="1"/>
    <row r="1671" s="45" customFormat="1"/>
    <row r="1672" s="45" customFormat="1"/>
    <row r="1673" s="45" customFormat="1"/>
    <row r="1674" s="45" customFormat="1"/>
    <row r="1675" s="45" customFormat="1"/>
    <row r="1676" s="45" customFormat="1"/>
    <row r="1677" s="45" customFormat="1"/>
    <row r="1678" s="45" customFormat="1"/>
    <row r="1679" s="45" customFormat="1"/>
    <row r="1680" s="45" customFormat="1"/>
    <row r="1681" s="45" customFormat="1"/>
    <row r="1682" s="45" customFormat="1"/>
    <row r="1683" s="45" customFormat="1"/>
    <row r="1684" s="45" customFormat="1"/>
    <row r="1685" s="45" customFormat="1"/>
    <row r="1686" s="45" customFormat="1"/>
    <row r="1687" s="45" customFormat="1"/>
    <row r="1688" s="45" customFormat="1"/>
    <row r="1689" s="45" customFormat="1"/>
    <row r="1690" s="45" customFormat="1"/>
    <row r="1691" s="45" customFormat="1"/>
    <row r="1692" s="45" customFormat="1"/>
    <row r="1693" s="45" customFormat="1"/>
    <row r="1694" s="45" customFormat="1"/>
    <row r="1695" s="45" customFormat="1"/>
    <row r="1696" s="45" customFormat="1"/>
    <row r="1697" s="45" customFormat="1"/>
    <row r="1698" s="45" customFormat="1"/>
    <row r="1699" s="45" customFormat="1"/>
    <row r="1700" s="45" customFormat="1"/>
    <row r="1701" s="45" customFormat="1"/>
    <row r="1702" s="45" customFormat="1"/>
    <row r="1703" s="45" customFormat="1"/>
    <row r="1704" s="45" customFormat="1"/>
    <row r="1705" s="45" customFormat="1"/>
    <row r="1706" s="45" customFormat="1"/>
    <row r="1707" s="45" customFormat="1"/>
    <row r="1708" s="45" customFormat="1"/>
    <row r="1709" s="45" customFormat="1"/>
    <row r="1710" s="45" customFormat="1"/>
    <row r="1711" s="45" customFormat="1"/>
    <row r="1712" s="45" customFormat="1"/>
    <row r="1713" s="45" customFormat="1"/>
    <row r="1714" s="45" customFormat="1"/>
    <row r="1715" s="45" customFormat="1"/>
    <row r="1716" s="45" customFormat="1"/>
    <row r="1717" s="45" customFormat="1"/>
    <row r="1718" s="45" customFormat="1"/>
    <row r="1719" s="45" customFormat="1"/>
    <row r="1720" s="45" customFormat="1"/>
    <row r="1721" s="45" customFormat="1"/>
    <row r="1722" s="45" customFormat="1"/>
    <row r="1723" s="45" customFormat="1"/>
    <row r="1724" s="45" customFormat="1"/>
    <row r="1725" s="45" customFormat="1"/>
    <row r="1726" s="45" customFormat="1"/>
    <row r="1727" s="45" customFormat="1"/>
    <row r="1728" s="45" customFormat="1"/>
    <row r="1729" s="45" customFormat="1"/>
    <row r="1730" s="45" customFormat="1"/>
    <row r="1731" s="45" customFormat="1"/>
    <row r="1732" s="45" customFormat="1"/>
    <row r="1733" s="45" customFormat="1"/>
    <row r="1734" s="45" customFormat="1"/>
    <row r="1735" s="45" customFormat="1"/>
    <row r="1736" s="45" customFormat="1"/>
    <row r="1737" s="45" customFormat="1"/>
    <row r="1738" s="45" customFormat="1"/>
    <row r="1739" s="45" customFormat="1"/>
    <row r="1740" s="45" customFormat="1"/>
    <row r="1741" s="45" customFormat="1"/>
    <row r="1742" s="45" customFormat="1"/>
    <row r="1743" s="45" customFormat="1"/>
    <row r="1744" s="45" customFormat="1"/>
    <row r="1745" s="45" customFormat="1"/>
    <row r="1746" s="45" customFormat="1"/>
    <row r="1747" s="45" customFormat="1"/>
    <row r="1748" s="45" customFormat="1"/>
    <row r="1749" s="45" customFormat="1"/>
    <row r="1750" s="45" customFormat="1"/>
    <row r="1751" s="45" customFormat="1"/>
    <row r="1752" s="45" customFormat="1"/>
    <row r="1753" s="45" customFormat="1"/>
    <row r="1754" s="45" customFormat="1"/>
    <row r="1755" s="45" customFormat="1"/>
    <row r="1756" s="45" customFormat="1"/>
    <row r="1757" s="45" customFormat="1"/>
    <row r="1758" s="45" customFormat="1"/>
    <row r="1759" s="45" customFormat="1"/>
    <row r="1760" s="45" customFormat="1"/>
    <row r="1761" s="45" customFormat="1"/>
    <row r="1762" s="45" customFormat="1"/>
    <row r="1763" s="45" customFormat="1"/>
    <row r="1764" s="45" customFormat="1"/>
    <row r="1765" s="45" customFormat="1"/>
    <row r="1766" s="45" customFormat="1"/>
    <row r="1767" s="45" customFormat="1"/>
    <row r="1768" s="45" customFormat="1"/>
    <row r="1769" s="45" customFormat="1"/>
    <row r="1770" s="45" customFormat="1"/>
    <row r="1771" s="45" customFormat="1"/>
    <row r="1772" s="45" customFormat="1"/>
    <row r="1773" s="45" customFormat="1"/>
    <row r="1774" s="45" customFormat="1"/>
    <row r="1775" s="45" customFormat="1"/>
    <row r="1776" s="45" customFormat="1"/>
    <row r="1777" s="45" customFormat="1"/>
    <row r="1778" s="45" customFormat="1"/>
    <row r="1779" s="45" customFormat="1"/>
    <row r="1780" s="45" customFormat="1"/>
    <row r="1781" s="45" customFormat="1"/>
    <row r="1782" s="45" customFormat="1"/>
    <row r="1783" s="45" customFormat="1"/>
    <row r="1784" s="45" customFormat="1"/>
    <row r="1785" s="45" customFormat="1"/>
    <row r="1786" s="45" customFormat="1"/>
    <row r="1787" s="45" customFormat="1"/>
    <row r="1788" s="45" customFormat="1"/>
    <row r="1789" s="45" customFormat="1"/>
    <row r="1790" s="45" customFormat="1"/>
    <row r="1791" s="45" customFormat="1"/>
    <row r="1792" s="45" customFormat="1"/>
    <row r="1793" s="45" customFormat="1"/>
    <row r="1794" s="45" customFormat="1"/>
    <row r="1795" s="45" customFormat="1"/>
    <row r="1796" s="45" customFormat="1"/>
    <row r="1797" s="45" customFormat="1"/>
    <row r="1798" s="45" customFormat="1"/>
    <row r="1799" s="45" customFormat="1"/>
    <row r="1800" s="45" customFormat="1"/>
    <row r="1801" s="45" customFormat="1"/>
    <row r="1802" s="45" customFormat="1"/>
    <row r="1803" s="45" customFormat="1"/>
    <row r="1804" s="45" customFormat="1"/>
    <row r="1805" s="45" customFormat="1"/>
    <row r="1806" s="45" customFormat="1"/>
    <row r="1807" s="45" customFormat="1"/>
    <row r="1808" s="45" customFormat="1"/>
    <row r="1809" s="45" customFormat="1"/>
    <row r="1810" s="45" customFormat="1"/>
    <row r="1811" s="45" customFormat="1"/>
    <row r="1812" s="45" customFormat="1"/>
    <row r="1813" s="45" customFormat="1"/>
    <row r="1814" s="45" customFormat="1"/>
    <row r="1815" s="45" customFormat="1"/>
    <row r="1816" s="45" customFormat="1"/>
    <row r="1817" s="45" customFormat="1"/>
    <row r="1818" s="45" customFormat="1"/>
    <row r="1819" s="45" customFormat="1"/>
    <row r="1820" s="45" customFormat="1"/>
    <row r="1821" s="45" customFormat="1"/>
    <row r="1822" s="45" customFormat="1"/>
    <row r="1823" s="45" customFormat="1"/>
    <row r="1824" s="45" customFormat="1"/>
    <row r="1825" s="45" customFormat="1"/>
    <row r="1826" s="45" customFormat="1"/>
    <row r="1827" s="45" customFormat="1"/>
    <row r="1828" s="45" customFormat="1"/>
    <row r="1829" s="45" customFormat="1"/>
    <row r="1830" s="45" customFormat="1"/>
    <row r="1831" s="45" customFormat="1"/>
    <row r="1832" s="45" customFormat="1"/>
    <row r="1833" s="45" customFormat="1"/>
    <row r="1834" s="45" customFormat="1"/>
    <row r="1835" s="45" customFormat="1"/>
    <row r="1836" s="45" customFormat="1"/>
    <row r="1837" s="45" customFormat="1"/>
    <row r="1838" s="45" customFormat="1"/>
    <row r="1839" s="45" customFormat="1"/>
    <row r="1840" s="45" customFormat="1"/>
    <row r="1841" s="45" customFormat="1"/>
    <row r="1842" s="45" customFormat="1"/>
    <row r="1843" s="45" customFormat="1"/>
    <row r="1844" s="45" customFormat="1"/>
    <row r="1845" s="45" customFormat="1"/>
    <row r="1846" s="45" customFormat="1"/>
    <row r="1847" s="45" customFormat="1"/>
    <row r="1848" s="45" customFormat="1"/>
    <row r="1849" s="45" customFormat="1"/>
    <row r="1850" s="45" customFormat="1"/>
    <row r="1851" s="45" customFormat="1"/>
    <row r="1852" s="45" customFormat="1"/>
    <row r="1853" s="45" customFormat="1"/>
    <row r="1854" s="45" customFormat="1"/>
    <row r="1855" s="45" customFormat="1"/>
    <row r="1856" s="45" customFormat="1"/>
    <row r="1857" s="45" customFormat="1"/>
    <row r="1858" s="45" customFormat="1"/>
    <row r="1859" s="45" customFormat="1"/>
    <row r="1860" s="45" customFormat="1"/>
    <row r="1861" s="45" customFormat="1"/>
    <row r="1862" s="45" customFormat="1"/>
    <row r="1863" s="45" customFormat="1"/>
    <row r="1864" s="45" customFormat="1"/>
    <row r="1865" s="45" customFormat="1"/>
    <row r="1866" s="45" customFormat="1"/>
    <row r="1867" s="45" customFormat="1"/>
    <row r="1868" s="45" customFormat="1"/>
  </sheetData>
  <mergeCells count="10">
    <mergeCell ref="K2:L2"/>
    <mergeCell ref="K3:L3"/>
    <mergeCell ref="K5:L5"/>
    <mergeCell ref="K4:L4"/>
    <mergeCell ref="B2:I6"/>
    <mergeCell ref="B13:I13"/>
    <mergeCell ref="B36:I36"/>
    <mergeCell ref="B8:I8"/>
    <mergeCell ref="F11:G11"/>
    <mergeCell ref="B30:I30"/>
  </mergeCells>
  <phoneticPr fontId="69" type="noConversion"/>
  <conditionalFormatting sqref="C10">
    <cfRule type="containsBlanks" dxfId="4" priority="5">
      <formula>LEN(TRIM(C10))=0</formula>
    </cfRule>
  </conditionalFormatting>
  <conditionalFormatting sqref="F11">
    <cfRule type="containsBlanks" dxfId="3" priority="4">
      <formula>LEN(TRIM(F11))=0</formula>
    </cfRule>
  </conditionalFormatting>
  <conditionalFormatting sqref="C11">
    <cfRule type="containsBlanks" dxfId="2" priority="3">
      <formula>LEN(TRIM(C11))=0</formula>
    </cfRule>
  </conditionalFormatting>
  <conditionalFormatting sqref="B108 B83 B58">
    <cfRule type="containsText" dxfId="1" priority="1" operator="containsText" text="No">
      <formula>NOT(ISERROR(SEARCH("No",B58)))</formula>
    </cfRule>
    <cfRule type="cellIs" dxfId="0" priority="2" operator="equal">
      <formula>"Yes"</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E3805DC-84CC-4301-B231-9D3A0A2763B3}">
          <x14:formula1>
            <xm:f>'Narrative &amp; Measures'!$A$28:$A$67</xm:f>
          </x14:formula1>
          <xm:sqref>C88:C107 C63:C82 C17 C38:C57</xm:sqref>
        </x14:dataValidation>
        <x14:dataValidation type="list" allowBlank="1" showInputMessage="1" showErrorMessage="1" xr:uid="{38ED8282-B958-43E1-A0DE-0742E1843EA4}">
          <x14:formula1>
            <xm:f>'Drop Down Lists'!$BD$3:$BD$6</xm:f>
          </x14:formula1>
          <xm:sqref>B10</xm:sqref>
        </x14:dataValidation>
        <x14:dataValidation type="list" allowBlank="1" showInputMessage="1" showErrorMessage="1" xr:uid="{A3D30BCC-8578-4D1D-BCAE-D46BECDFBB29}">
          <x14:formula1>
            <xm:f>'Drop Down Lists'!$N$3:$N$4</xm:f>
          </x14:formula1>
          <xm:sqref>B58 B83 B108 H20:H24 H15:H17 H38:H57 H27 H32 H88:H107 H63:H82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B625"/>
  <sheetViews>
    <sheetView zoomScale="70" zoomScaleNormal="70" workbookViewId="0">
      <selection activeCell="E385" sqref="E385"/>
    </sheetView>
  </sheetViews>
  <sheetFormatPr defaultColWidth="9.28515625" defaultRowHeight="15"/>
  <cols>
    <col min="1" max="1" width="62.28515625" style="103" customWidth="1"/>
    <col min="2" max="2" width="14.7109375" style="103" customWidth="1"/>
    <col min="3" max="4" width="16.42578125" style="103" customWidth="1"/>
    <col min="5" max="5" width="18.85546875" style="103" customWidth="1"/>
    <col min="6" max="6" width="16.42578125" style="103" customWidth="1"/>
    <col min="7" max="7" width="17.28515625" style="103" customWidth="1"/>
    <col min="8" max="8" width="16.42578125" style="103" customWidth="1"/>
    <col min="9" max="9" width="15" style="103" customWidth="1"/>
    <col min="10" max="10" width="15.42578125" style="103" customWidth="1"/>
    <col min="11" max="11" width="14.42578125" style="103" customWidth="1"/>
    <col min="12" max="12" width="15.28515625" style="110" customWidth="1"/>
    <col min="13" max="15" width="14.42578125" style="110" customWidth="1"/>
    <col min="16" max="16" width="16.42578125" style="110" customWidth="1"/>
    <col min="17" max="21" width="14.42578125" style="110" customWidth="1"/>
    <col min="22" max="22" width="14.7109375" style="103" bestFit="1" customWidth="1"/>
    <col min="23" max="23" width="9.28515625" style="103"/>
    <col min="24" max="27" width="12.42578125" style="103" customWidth="1"/>
    <col min="28" max="16384" width="9.28515625" style="103"/>
  </cols>
  <sheetData>
    <row r="1" spans="1:22" s="783" customFormat="1" ht="15.95" thickBot="1">
      <c r="L1" s="784"/>
      <c r="M1" s="784"/>
      <c r="N1" s="784"/>
      <c r="O1" s="784"/>
      <c r="P1" s="784"/>
      <c r="Q1" s="784"/>
      <c r="R1" s="784"/>
      <c r="S1" s="784"/>
      <c r="T1" s="784"/>
      <c r="U1" s="784"/>
    </row>
    <row r="2" spans="1:22" s="782" customFormat="1" ht="15.95" thickBot="1">
      <c r="A2" s="779" t="s">
        <v>565</v>
      </c>
      <c r="B2" s="780"/>
      <c r="C2" s="780"/>
      <c r="D2" s="780"/>
      <c r="E2" s="780"/>
      <c r="F2" s="780"/>
      <c r="G2" s="780"/>
      <c r="H2" s="780"/>
      <c r="I2" s="780"/>
      <c r="J2" s="780"/>
      <c r="K2" s="780"/>
      <c r="L2" s="781"/>
      <c r="M2" s="781"/>
      <c r="N2" s="781"/>
      <c r="O2" s="781"/>
      <c r="P2" s="781"/>
      <c r="Q2" s="781"/>
      <c r="R2" s="781"/>
      <c r="S2" s="781"/>
      <c r="T2" s="781"/>
      <c r="U2" s="781"/>
    </row>
    <row r="4" spans="1:22" ht="18.95">
      <c r="A4" s="923" t="s">
        <v>566</v>
      </c>
      <c r="B4" s="923"/>
      <c r="C4" s="923"/>
      <c r="D4" s="923"/>
      <c r="E4" s="923"/>
      <c r="F4" s="923"/>
      <c r="G4" s="923"/>
      <c r="H4" s="923"/>
      <c r="I4" s="923"/>
      <c r="J4" s="923"/>
      <c r="K4" s="923"/>
      <c r="L4" s="923"/>
      <c r="M4" s="923"/>
      <c r="N4" s="923"/>
      <c r="O4" s="923"/>
      <c r="P4" s="923"/>
      <c r="Q4" s="923"/>
      <c r="R4" s="923"/>
      <c r="S4" s="923"/>
      <c r="T4" s="923"/>
      <c r="U4" s="923"/>
      <c r="V4" s="923"/>
    </row>
    <row r="5" spans="1:22">
      <c r="A5" s="110"/>
      <c r="C5" s="110"/>
    </row>
    <row r="6" spans="1:22">
      <c r="A6" s="202" t="s">
        <v>301</v>
      </c>
      <c r="B6" s="221">
        <f>'Building Info &amp; Assumptions'!B57</f>
        <v>20</v>
      </c>
      <c r="D6" s="35" t="s">
        <v>567</v>
      </c>
      <c r="E6" s="103">
        <f>Alternatives!B10</f>
        <v>20</v>
      </c>
      <c r="G6" s="35" t="s">
        <v>568</v>
      </c>
      <c r="H6" s="218">
        <f>Alternatives!B11</f>
        <v>2021</v>
      </c>
    </row>
    <row r="7" spans="1:22">
      <c r="A7" s="110"/>
      <c r="E7" s="717"/>
      <c r="H7" s="202"/>
    </row>
    <row r="8" spans="1:22" s="304" customFormat="1">
      <c r="A8" s="303" t="s">
        <v>569</v>
      </c>
      <c r="H8" s="303"/>
      <c r="L8" s="432"/>
      <c r="M8" s="432"/>
      <c r="N8" s="432"/>
      <c r="O8" s="432"/>
      <c r="P8" s="432"/>
      <c r="Q8" s="432"/>
      <c r="R8" s="432"/>
      <c r="S8" s="432"/>
      <c r="T8" s="432"/>
      <c r="U8" s="432"/>
    </row>
    <row r="9" spans="1:22">
      <c r="A9" s="110"/>
    </row>
    <row r="10" spans="1:22">
      <c r="A10" s="271" t="s">
        <v>570</v>
      </c>
      <c r="B10" s="221"/>
      <c r="C10" s="221"/>
      <c r="D10" s="221"/>
      <c r="E10" s="221"/>
      <c r="F10" s="221"/>
      <c r="G10" s="221"/>
      <c r="H10" s="221"/>
      <c r="I10" s="221"/>
      <c r="J10" s="221"/>
      <c r="K10" s="221"/>
      <c r="L10" s="471"/>
      <c r="M10" s="471"/>
      <c r="N10" s="471"/>
      <c r="O10" s="471"/>
      <c r="P10" s="471"/>
      <c r="Q10" s="471"/>
      <c r="R10" s="471"/>
      <c r="S10" s="471"/>
      <c r="T10" s="471"/>
      <c r="U10" s="471"/>
      <c r="V10" s="221"/>
    </row>
    <row r="11" spans="1:22">
      <c r="A11" s="471"/>
      <c r="B11" s="644">
        <v>1</v>
      </c>
      <c r="C11" s="644">
        <v>2</v>
      </c>
      <c r="D11" s="644">
        <v>3</v>
      </c>
      <c r="E11" s="644">
        <v>4</v>
      </c>
      <c r="F11" s="644">
        <v>5</v>
      </c>
      <c r="G11" s="644">
        <v>6</v>
      </c>
      <c r="H11" s="644">
        <v>7</v>
      </c>
      <c r="I11" s="644">
        <v>8</v>
      </c>
      <c r="J11" s="644">
        <v>9</v>
      </c>
      <c r="K11" s="644">
        <v>10</v>
      </c>
      <c r="L11" s="644">
        <v>11</v>
      </c>
      <c r="M11" s="644">
        <v>12</v>
      </c>
      <c r="N11" s="644">
        <v>13</v>
      </c>
      <c r="O11" s="644">
        <v>14</v>
      </c>
      <c r="P11" s="644">
        <v>15</v>
      </c>
      <c r="Q11" s="644">
        <v>16</v>
      </c>
      <c r="R11" s="644">
        <v>17</v>
      </c>
      <c r="S11" s="644">
        <v>18</v>
      </c>
      <c r="T11" s="644">
        <v>19</v>
      </c>
      <c r="U11" s="644">
        <v>20</v>
      </c>
      <c r="V11" s="221"/>
    </row>
    <row r="12" spans="1:22">
      <c r="A12" s="645" t="s">
        <v>303</v>
      </c>
      <c r="B12" s="272">
        <f>'Building Info &amp; Assumptions'!B425</f>
        <v>122910661.11111112</v>
      </c>
      <c r="C12" s="272">
        <f>'Building Info &amp; Assumptions'!C425</f>
        <v>127212500</v>
      </c>
      <c r="D12" s="272">
        <f>'Building Info &amp; Assumptions'!D425</f>
        <v>131664900</v>
      </c>
      <c r="E12" s="272">
        <f>'Building Info &amp; Assumptions'!E425</f>
        <v>136273200</v>
      </c>
      <c r="F12" s="272">
        <f>'Building Info &amp; Assumptions'!F425</f>
        <v>141042800</v>
      </c>
      <c r="G12" s="272">
        <f>'Building Info &amp; Assumptions'!G425</f>
        <v>145979300</v>
      </c>
      <c r="H12" s="272">
        <f>'Building Info &amp; Assumptions'!H425</f>
        <v>151088600</v>
      </c>
      <c r="I12" s="272">
        <f>'Building Info &amp; Assumptions'!I425</f>
        <v>156376700</v>
      </c>
      <c r="J12" s="272">
        <f>'Building Info &amp; Assumptions'!J425</f>
        <v>161849900</v>
      </c>
      <c r="K12" s="272">
        <f>'Building Info &amp; Assumptions'!K425</f>
        <v>167514600</v>
      </c>
      <c r="L12" s="272">
        <f>'Building Info &amp; Assumptions'!L425</f>
        <v>173377600</v>
      </c>
      <c r="M12" s="272">
        <f>'Building Info &amp; Assumptions'!M425</f>
        <v>179445800</v>
      </c>
      <c r="N12" s="272">
        <f>'Building Info &amp; Assumptions'!N425</f>
        <v>185726400</v>
      </c>
      <c r="O12" s="272">
        <f>'Building Info &amp; Assumptions'!O425</f>
        <v>192226800</v>
      </c>
      <c r="P12" s="272">
        <f>'Building Info &amp; Assumptions'!P425</f>
        <v>198954700</v>
      </c>
      <c r="Q12" s="272">
        <f>'Building Info &amp; Assumptions'!Q425</f>
        <v>205918100</v>
      </c>
      <c r="R12" s="272">
        <f>'Building Info &amp; Assumptions'!R425</f>
        <v>213125200</v>
      </c>
      <c r="S12" s="272">
        <f>'Building Info &amp; Assumptions'!S425</f>
        <v>220584600</v>
      </c>
      <c r="T12" s="272">
        <f>'Building Info &amp; Assumptions'!T425</f>
        <v>228305100</v>
      </c>
      <c r="U12" s="272">
        <f>'Building Info &amp; Assumptions'!U425</f>
        <v>236295800</v>
      </c>
      <c r="V12" s="221"/>
    </row>
    <row r="13" spans="1:22">
      <c r="A13" s="645" t="s">
        <v>304</v>
      </c>
      <c r="B13" s="272">
        <f>'Building Info &amp; Assumptions'!B426</f>
        <v>4916400</v>
      </c>
      <c r="C13" s="272">
        <f>'Building Info &amp; Assumptions'!C426</f>
        <v>5088500</v>
      </c>
      <c r="D13" s="272">
        <f>'Building Info &amp; Assumptions'!D426</f>
        <v>5266600</v>
      </c>
      <c r="E13" s="272">
        <f>'Building Info &amp; Assumptions'!E426</f>
        <v>5450900</v>
      </c>
      <c r="F13" s="272">
        <f>'Building Info &amp; Assumptions'!F426</f>
        <v>5641700</v>
      </c>
      <c r="G13" s="272">
        <f>'Building Info &amp; Assumptions'!G426</f>
        <v>5839200</v>
      </c>
      <c r="H13" s="272">
        <f>'Building Info &amp; Assumptions'!H426</f>
        <v>6043500</v>
      </c>
      <c r="I13" s="272">
        <f>'Building Info &amp; Assumptions'!I426</f>
        <v>6255100</v>
      </c>
      <c r="J13" s="272">
        <f>'Building Info &amp; Assumptions'!J426</f>
        <v>6474000</v>
      </c>
      <c r="K13" s="272">
        <f>'Building Info &amp; Assumptions'!K426</f>
        <v>6700600</v>
      </c>
      <c r="L13" s="272">
        <f>'Building Info &amp; Assumptions'!L426</f>
        <v>6935100</v>
      </c>
      <c r="M13" s="272">
        <f>'Building Info &amp; Assumptions'!M426</f>
        <v>7177800</v>
      </c>
      <c r="N13" s="272">
        <f>'Building Info &amp; Assumptions'!N426</f>
        <v>7429100</v>
      </c>
      <c r="O13" s="272">
        <f>'Building Info &amp; Assumptions'!O426</f>
        <v>7689100</v>
      </c>
      <c r="P13" s="272">
        <f>'Building Info &amp; Assumptions'!P426</f>
        <v>7958200</v>
      </c>
      <c r="Q13" s="272">
        <f>'Building Info &amp; Assumptions'!Q426</f>
        <v>8236700.0000000009</v>
      </c>
      <c r="R13" s="272">
        <f>'Building Info &amp; Assumptions'!R426</f>
        <v>8525000</v>
      </c>
      <c r="S13" s="272">
        <f>'Building Info &amp; Assumptions'!S426</f>
        <v>8823400</v>
      </c>
      <c r="T13" s="272">
        <f>'Building Info &amp; Assumptions'!T426</f>
        <v>9132200</v>
      </c>
      <c r="U13" s="272">
        <f>'Building Info &amp; Assumptions'!U426</f>
        <v>9451800</v>
      </c>
      <c r="V13" s="221"/>
    </row>
    <row r="14" spans="1:22">
      <c r="A14" s="471"/>
      <c r="B14" s="646">
        <f>B12-B13</f>
        <v>117994261.11111112</v>
      </c>
      <c r="C14" s="646">
        <f t="shared" ref="C14:K14" si="0">C12-C13</f>
        <v>122124000</v>
      </c>
      <c r="D14" s="646">
        <f t="shared" si="0"/>
        <v>126398300</v>
      </c>
      <c r="E14" s="646">
        <f t="shared" si="0"/>
        <v>130822300</v>
      </c>
      <c r="F14" s="646">
        <f t="shared" si="0"/>
        <v>135401100</v>
      </c>
      <c r="G14" s="646">
        <f t="shared" si="0"/>
        <v>140140100</v>
      </c>
      <c r="H14" s="646">
        <f t="shared" si="0"/>
        <v>145045100</v>
      </c>
      <c r="I14" s="646">
        <f t="shared" si="0"/>
        <v>150121600</v>
      </c>
      <c r="J14" s="646">
        <f t="shared" si="0"/>
        <v>155375900</v>
      </c>
      <c r="K14" s="646">
        <f t="shared" si="0"/>
        <v>160814000</v>
      </c>
      <c r="L14" s="646">
        <f t="shared" ref="L14:U14" si="1">L12-L13</f>
        <v>166442500</v>
      </c>
      <c r="M14" s="646">
        <f t="shared" si="1"/>
        <v>172268000</v>
      </c>
      <c r="N14" s="646">
        <f t="shared" si="1"/>
        <v>178297300</v>
      </c>
      <c r="O14" s="646">
        <f t="shared" si="1"/>
        <v>184537700</v>
      </c>
      <c r="P14" s="646">
        <f t="shared" si="1"/>
        <v>190996500</v>
      </c>
      <c r="Q14" s="646">
        <f t="shared" si="1"/>
        <v>197681400</v>
      </c>
      <c r="R14" s="646">
        <f t="shared" si="1"/>
        <v>204600200</v>
      </c>
      <c r="S14" s="646">
        <f t="shared" si="1"/>
        <v>211761200</v>
      </c>
      <c r="T14" s="646">
        <f t="shared" si="1"/>
        <v>219172900</v>
      </c>
      <c r="U14" s="646">
        <f t="shared" si="1"/>
        <v>226844000</v>
      </c>
      <c r="V14" s="221"/>
    </row>
    <row r="15" spans="1:22">
      <c r="A15" s="645" t="s">
        <v>305</v>
      </c>
      <c r="B15" s="272">
        <f>'Building Info &amp; Assumptions'!B428</f>
        <v>0</v>
      </c>
      <c r="C15" s="272">
        <f>'Building Info &amp; Assumptions'!C428</f>
        <v>0</v>
      </c>
      <c r="D15" s="272">
        <f>'Building Info &amp; Assumptions'!D428</f>
        <v>0</v>
      </c>
      <c r="E15" s="272">
        <f>'Building Info &amp; Assumptions'!E428</f>
        <v>0</v>
      </c>
      <c r="F15" s="272">
        <f>'Building Info &amp; Assumptions'!F428</f>
        <v>0</v>
      </c>
      <c r="G15" s="272">
        <f>'Building Info &amp; Assumptions'!G428</f>
        <v>0</v>
      </c>
      <c r="H15" s="272">
        <f>'Building Info &amp; Assumptions'!H428</f>
        <v>0</v>
      </c>
      <c r="I15" s="272">
        <f>'Building Info &amp; Assumptions'!I428</f>
        <v>0</v>
      </c>
      <c r="J15" s="272">
        <f>'Building Info &amp; Assumptions'!J428</f>
        <v>0</v>
      </c>
      <c r="K15" s="272">
        <f>'Building Info &amp; Assumptions'!K428</f>
        <v>0</v>
      </c>
      <c r="L15" s="272">
        <f>'Building Info &amp; Assumptions'!L428</f>
        <v>0</v>
      </c>
      <c r="M15" s="272">
        <f>'Building Info &amp; Assumptions'!M428</f>
        <v>0</v>
      </c>
      <c r="N15" s="272">
        <f>'Building Info &amp; Assumptions'!N428</f>
        <v>0</v>
      </c>
      <c r="O15" s="272">
        <f>'Building Info &amp; Assumptions'!O428</f>
        <v>0</v>
      </c>
      <c r="P15" s="272">
        <f>'Building Info &amp; Assumptions'!P428</f>
        <v>0</v>
      </c>
      <c r="Q15" s="272">
        <f>'Building Info &amp; Assumptions'!Q428</f>
        <v>0</v>
      </c>
      <c r="R15" s="272">
        <f>'Building Info &amp; Assumptions'!R428</f>
        <v>0</v>
      </c>
      <c r="S15" s="272">
        <f>'Building Info &amp; Assumptions'!S428</f>
        <v>0</v>
      </c>
      <c r="T15" s="272">
        <f>'Building Info &amp; Assumptions'!T428</f>
        <v>0</v>
      </c>
      <c r="U15" s="272">
        <f>'Building Info &amp; Assumptions'!U428</f>
        <v>0</v>
      </c>
      <c r="V15" s="221"/>
    </row>
    <row r="16" spans="1:22">
      <c r="A16" s="645" t="s">
        <v>306</v>
      </c>
      <c r="B16" s="646">
        <f>B14+B15</f>
        <v>117994261.11111112</v>
      </c>
      <c r="C16" s="646">
        <f t="shared" ref="C16:K16" si="2">C14+C15</f>
        <v>122124000</v>
      </c>
      <c r="D16" s="646">
        <f t="shared" si="2"/>
        <v>126398300</v>
      </c>
      <c r="E16" s="646">
        <f t="shared" si="2"/>
        <v>130822300</v>
      </c>
      <c r="F16" s="646">
        <f t="shared" si="2"/>
        <v>135401100</v>
      </c>
      <c r="G16" s="646">
        <f t="shared" si="2"/>
        <v>140140100</v>
      </c>
      <c r="H16" s="646">
        <f t="shared" si="2"/>
        <v>145045100</v>
      </c>
      <c r="I16" s="646">
        <f t="shared" si="2"/>
        <v>150121600</v>
      </c>
      <c r="J16" s="646">
        <f t="shared" si="2"/>
        <v>155375900</v>
      </c>
      <c r="K16" s="646">
        <f t="shared" si="2"/>
        <v>160814000</v>
      </c>
      <c r="L16" s="646">
        <f t="shared" ref="L16:U16" si="3">L14+L15</f>
        <v>166442500</v>
      </c>
      <c r="M16" s="646">
        <f t="shared" si="3"/>
        <v>172268000</v>
      </c>
      <c r="N16" s="646">
        <f t="shared" si="3"/>
        <v>178297300</v>
      </c>
      <c r="O16" s="646">
        <f t="shared" si="3"/>
        <v>184537700</v>
      </c>
      <c r="P16" s="646">
        <f t="shared" si="3"/>
        <v>190996500</v>
      </c>
      <c r="Q16" s="646">
        <f t="shared" si="3"/>
        <v>197681400</v>
      </c>
      <c r="R16" s="646">
        <f t="shared" si="3"/>
        <v>204600200</v>
      </c>
      <c r="S16" s="646">
        <f t="shared" si="3"/>
        <v>211761200</v>
      </c>
      <c r="T16" s="646">
        <f t="shared" si="3"/>
        <v>219172900</v>
      </c>
      <c r="U16" s="646">
        <f t="shared" si="3"/>
        <v>226844000</v>
      </c>
      <c r="V16" s="221"/>
    </row>
    <row r="17" spans="1:22">
      <c r="A17" s="645"/>
      <c r="B17" s="647"/>
      <c r="C17" s="647"/>
      <c r="D17" s="647"/>
      <c r="E17" s="647"/>
      <c r="F17" s="647"/>
      <c r="G17" s="647"/>
      <c r="H17" s="647"/>
      <c r="I17" s="647"/>
      <c r="J17" s="647"/>
      <c r="K17" s="647"/>
      <c r="L17" s="647"/>
      <c r="M17" s="647"/>
      <c r="N17" s="647"/>
      <c r="O17" s="647"/>
      <c r="P17" s="647"/>
      <c r="Q17" s="647"/>
      <c r="R17" s="647"/>
      <c r="S17" s="647"/>
      <c r="T17" s="647"/>
      <c r="U17" s="647"/>
      <c r="V17" s="221"/>
    </row>
    <row r="18" spans="1:22">
      <c r="A18" s="271" t="s">
        <v>307</v>
      </c>
      <c r="B18" s="651"/>
      <c r="C18" s="471"/>
      <c r="D18" s="471"/>
      <c r="E18" s="471"/>
      <c r="F18" s="471"/>
      <c r="G18" s="471"/>
      <c r="H18" s="471"/>
      <c r="I18" s="471"/>
      <c r="J18" s="471"/>
      <c r="K18" s="471"/>
      <c r="L18" s="471"/>
      <c r="M18" s="471"/>
      <c r="N18" s="471"/>
      <c r="O18" s="471"/>
      <c r="P18" s="471"/>
      <c r="Q18" s="471"/>
      <c r="R18" s="471"/>
      <c r="S18" s="471"/>
      <c r="T18" s="471"/>
      <c r="U18" s="471"/>
      <c r="V18" s="221"/>
    </row>
    <row r="19" spans="1:22">
      <c r="A19" s="219" t="s">
        <v>571</v>
      </c>
      <c r="B19" s="648">
        <f>'Building Info &amp; Assumptions'!B432</f>
        <v>5899713.055555556</v>
      </c>
      <c r="C19" s="648">
        <f>'Building Info &amp; Assumptions'!C432</f>
        <v>6106200</v>
      </c>
      <c r="D19" s="648">
        <f>'Building Info &amp; Assumptions'!D432</f>
        <v>6319915</v>
      </c>
      <c r="E19" s="648">
        <f>'Building Info &amp; Assumptions'!E432</f>
        <v>6541115</v>
      </c>
      <c r="F19" s="648">
        <f>'Building Info &amp; Assumptions'!F432</f>
        <v>6770055</v>
      </c>
      <c r="G19" s="648">
        <f>'Building Info &amp; Assumptions'!G432</f>
        <v>7007005</v>
      </c>
      <c r="H19" s="648">
        <f>'Building Info &amp; Assumptions'!H432</f>
        <v>7252255</v>
      </c>
      <c r="I19" s="648">
        <f>'Building Info &amp; Assumptions'!I432</f>
        <v>7506080</v>
      </c>
      <c r="J19" s="648">
        <f>'Building Info &amp; Assumptions'!J432</f>
        <v>7768795</v>
      </c>
      <c r="K19" s="648">
        <f>'Building Info &amp; Assumptions'!K432</f>
        <v>8040700</v>
      </c>
      <c r="L19" s="272">
        <f>'Building Info &amp; Assumptions'!L432</f>
        <v>8322125</v>
      </c>
      <c r="M19" s="272">
        <f>'Building Info &amp; Assumptions'!M432</f>
        <v>8613400</v>
      </c>
      <c r="N19" s="272">
        <f>'Building Info &amp; Assumptions'!N432</f>
        <v>8914865</v>
      </c>
      <c r="O19" s="272">
        <f>'Building Info &amp; Assumptions'!O432</f>
        <v>9226885</v>
      </c>
      <c r="P19" s="272">
        <f>'Building Info &amp; Assumptions'!P432</f>
        <v>9549825</v>
      </c>
      <c r="Q19" s="272">
        <f>'Building Info &amp; Assumptions'!Q432</f>
        <v>9884070</v>
      </c>
      <c r="R19" s="272">
        <f>'Building Info &amp; Assumptions'!R432</f>
        <v>10230010</v>
      </c>
      <c r="S19" s="272">
        <f>'Building Info &amp; Assumptions'!S432</f>
        <v>10588060</v>
      </c>
      <c r="T19" s="272">
        <f>'Building Info &amp; Assumptions'!T432</f>
        <v>10958645</v>
      </c>
      <c r="U19" s="272">
        <f>'Building Info &amp; Assumptions'!U432</f>
        <v>11342200</v>
      </c>
      <c r="V19" s="221"/>
    </row>
    <row r="20" spans="1:22">
      <c r="A20" s="94" t="str">
        <f>'Building Info &amp; Assumptions'!A433</f>
        <v>Cleaning</v>
      </c>
      <c r="B20" s="200">
        <f>'Building Info &amp; Assumptions'!B433</f>
        <v>6920000</v>
      </c>
      <c r="C20" s="200">
        <f>'Building Info &amp; Assumptions'!C433</f>
        <v>7162199.9999999991</v>
      </c>
      <c r="D20" s="200">
        <f>'Building Info &amp; Assumptions'!D433</f>
        <v>7412876.9999999981</v>
      </c>
      <c r="E20" s="200">
        <f>'Building Info &amp; Assumptions'!E433</f>
        <v>7672327.6949999975</v>
      </c>
      <c r="F20" s="200">
        <f>'Building Info &amp; Assumptions'!F433</f>
        <v>7940859.164324997</v>
      </c>
      <c r="G20" s="200">
        <f>'Building Info &amp; Assumptions'!G433</f>
        <v>8218789.2350763716</v>
      </c>
      <c r="H20" s="200">
        <f>'Building Info &amp; Assumptions'!H433</f>
        <v>8506446.8583040442</v>
      </c>
      <c r="I20" s="200">
        <f>'Building Info &amp; Assumptions'!I433</f>
        <v>8804172.4983446859</v>
      </c>
      <c r="J20" s="200">
        <f>'Building Info &amp; Assumptions'!J433</f>
        <v>9112318.5357867498</v>
      </c>
      <c r="K20" s="200">
        <f>'Building Info &amp; Assumptions'!K433</f>
        <v>9431249.6845392846</v>
      </c>
      <c r="L20" s="196">
        <f>'Building Info &amp; Assumptions'!L433</f>
        <v>9761343.4234981593</v>
      </c>
      <c r="M20" s="196">
        <f>'Building Info &amp; Assumptions'!M433</f>
        <v>10102990.443320595</v>
      </c>
      <c r="N20" s="196">
        <f>'Building Info &amp; Assumptions'!N433</f>
        <v>10456595.108836815</v>
      </c>
      <c r="O20" s="196">
        <f>'Building Info &amp; Assumptions'!O433</f>
        <v>10822575.937646102</v>
      </c>
      <c r="P20" s="196">
        <f>'Building Info &amp; Assumptions'!P433</f>
        <v>11201366.095463715</v>
      </c>
      <c r="Q20" s="196">
        <f>'Building Info &amp; Assumptions'!Q433</f>
        <v>11593413.908804944</v>
      </c>
      <c r="R20" s="196">
        <f>'Building Info &amp; Assumptions'!R433</f>
        <v>11999183.395613115</v>
      </c>
      <c r="S20" s="196">
        <f>'Building Info &amp; Assumptions'!S433</f>
        <v>12419154.814459573</v>
      </c>
      <c r="T20" s="196">
        <f>'Building Info &amp; Assumptions'!T433</f>
        <v>12853825.232965657</v>
      </c>
      <c r="U20" s="196">
        <f>'Building Info &amp; Assumptions'!U433</f>
        <v>13303709.116119454</v>
      </c>
    </row>
    <row r="21" spans="1:22">
      <c r="A21" s="94" t="str">
        <f>'Building Info &amp; Assumptions'!A434</f>
        <v>Repair / Maintenance</v>
      </c>
      <c r="B21" s="200">
        <f>'Building Info &amp; Assumptions'!B434</f>
        <v>7040000.0000000009</v>
      </c>
      <c r="C21" s="200">
        <f>'Building Info &amp; Assumptions'!C434</f>
        <v>7286400</v>
      </c>
      <c r="D21" s="200">
        <f>'Building Info &amp; Assumptions'!D434</f>
        <v>7541423.9999999991</v>
      </c>
      <c r="E21" s="200">
        <f>'Building Info &amp; Assumptions'!E434</f>
        <v>7805373.839999998</v>
      </c>
      <c r="F21" s="200">
        <f>'Building Info &amp; Assumptions'!F434</f>
        <v>8078561.9243999971</v>
      </c>
      <c r="G21" s="200">
        <f>'Building Info &amp; Assumptions'!G434</f>
        <v>8361311.591753996</v>
      </c>
      <c r="H21" s="200">
        <f>'Building Info &amp; Assumptions'!H434</f>
        <v>8653957.4974653851</v>
      </c>
      <c r="I21" s="200">
        <f>'Building Info &amp; Assumptions'!I434</f>
        <v>8956846.0098766722</v>
      </c>
      <c r="J21" s="200">
        <f>'Building Info &amp; Assumptions'!J434</f>
        <v>9270335.6202223543</v>
      </c>
      <c r="K21" s="200">
        <f>'Building Info &amp; Assumptions'!K434</f>
        <v>9594797.3669301365</v>
      </c>
      <c r="L21" s="196">
        <f>'Building Info &amp; Assumptions'!L434</f>
        <v>9930615.2747726906</v>
      </c>
      <c r="M21" s="196">
        <f>'Building Info &amp; Assumptions'!M434</f>
        <v>10278186.809389735</v>
      </c>
      <c r="N21" s="196">
        <f>'Building Info &amp; Assumptions'!N434</f>
        <v>10637923.347718375</v>
      </c>
      <c r="O21" s="196">
        <f>'Building Info &amp; Assumptions'!O434</f>
        <v>11010250.664888518</v>
      </c>
      <c r="P21" s="196">
        <f>'Building Info &amp; Assumptions'!P434</f>
        <v>11395609.438159615</v>
      </c>
      <c r="Q21" s="196">
        <f>'Building Info &amp; Assumptions'!Q434</f>
        <v>11794455.7684952</v>
      </c>
      <c r="R21" s="196">
        <f>'Building Info &amp; Assumptions'!R434</f>
        <v>12207261.720392531</v>
      </c>
      <c r="S21" s="196">
        <f>'Building Info &amp; Assumptions'!S434</f>
        <v>12634515.880606268</v>
      </c>
      <c r="T21" s="196">
        <f>'Building Info &amp; Assumptions'!T434</f>
        <v>13076723.936427485</v>
      </c>
      <c r="U21" s="196">
        <f>'Building Info &amp; Assumptions'!U434</f>
        <v>13534409.274202446</v>
      </c>
      <c r="V21" s="177"/>
    </row>
    <row r="22" spans="1:22" s="110" customFormat="1">
      <c r="A22" s="487" t="str">
        <f>'Building Info &amp; Assumptions'!A435</f>
        <v>Utility</v>
      </c>
      <c r="B22" s="220">
        <f>(C322)*Rate_ElecBlended*(1+esc_elect)^B$11+(C330)*Rate_NatGas*(1+esc_gas)^B$11+(C338)*Rate_Steam*(1+esc_steam)^B$11+(C346)*rate_util4*(1+esc_chw)^B$11+(C354)*Rate_Util5*(1+esc_hw)^B$11+(C362)*Rate_util6*(1+esc_oil)^B$11</f>
        <v>10645440</v>
      </c>
      <c r="C22" s="220">
        <f t="shared" ref="C22:U22" ca="1" si="4">(D322)*Rate_ElecBlended*(1+esc_elect)^C$11+(D330)*Rate_NatGas*(1+esc_gas)^C$11+(D338)*Rate_Steam*(1+esc_steam)^C$11+(D346)*rate_util4*(1+esc_chw)^C$11+(D354)*Rate_Util5*(1+esc_hw)^C$11+(D362)*Rate_util6*(1+esc_oil)^C$11</f>
        <v>10671269.4816</v>
      </c>
      <c r="D22" s="220">
        <f t="shared" ca="1" si="4"/>
        <v>10815095.325215999</v>
      </c>
      <c r="E22" s="220">
        <f t="shared" ca="1" si="4"/>
        <v>10961101.690244161</v>
      </c>
      <c r="F22" s="220">
        <f t="shared" ca="1" si="4"/>
        <v>11109325.227158122</v>
      </c>
      <c r="G22" s="220">
        <f t="shared" ca="1" si="4"/>
        <v>11259803.249841455</v>
      </c>
      <c r="H22" s="220">
        <f t="shared" ca="1" si="4"/>
        <v>11331623.240534363</v>
      </c>
      <c r="I22" s="220">
        <f t="shared" ca="1" si="4"/>
        <v>11485915.388076095</v>
      </c>
      <c r="J22" s="220">
        <f t="shared" ca="1" si="4"/>
        <v>11642569.97539597</v>
      </c>
      <c r="K22" s="220">
        <f t="shared" ca="1" si="4"/>
        <v>11801627.017257825</v>
      </c>
      <c r="L22" s="220">
        <f t="shared" ca="1" si="4"/>
        <v>11963127.256380454</v>
      </c>
      <c r="M22" s="220">
        <f t="shared" ca="1" si="4"/>
        <v>12103908.596252836</v>
      </c>
      <c r="N22" s="220">
        <f t="shared" ca="1" si="4"/>
        <v>12270188.403510999</v>
      </c>
      <c r="O22" s="220">
        <f t="shared" ca="1" si="4"/>
        <v>12439035.823267657</v>
      </c>
      <c r="P22" s="220">
        <f t="shared" ca="1" si="4"/>
        <v>12610494.627936311</v>
      </c>
      <c r="Q22" s="220">
        <f t="shared" ca="1" si="4"/>
        <v>12784609.389580375</v>
      </c>
      <c r="R22" s="220">
        <f t="shared" ca="1" si="4"/>
        <v>12961425.495148171</v>
      </c>
      <c r="S22" s="220">
        <f t="shared" ca="1" si="4"/>
        <v>13140989.162005085</v>
      </c>
      <c r="T22" s="220">
        <f t="shared" ca="1" si="4"/>
        <v>13323347.453768674</v>
      </c>
      <c r="U22" s="220">
        <f t="shared" ca="1" si="4"/>
        <v>13508548.296452774</v>
      </c>
    </row>
    <row r="23" spans="1:22">
      <c r="A23" s="94" t="str">
        <f>'Building Info &amp; Assumptions'!A437</f>
        <v>Security</v>
      </c>
      <c r="B23" s="200">
        <f>'Building Info &amp; Assumptions'!B437</f>
        <v>7040000.0000000009</v>
      </c>
      <c r="C23" s="200">
        <f>'Building Info &amp; Assumptions'!C437</f>
        <v>7286400</v>
      </c>
      <c r="D23" s="200">
        <f>'Building Info &amp; Assumptions'!D437</f>
        <v>7541423.9999999991</v>
      </c>
      <c r="E23" s="200">
        <f>'Building Info &amp; Assumptions'!E437</f>
        <v>7805373.839999998</v>
      </c>
      <c r="F23" s="200">
        <f>'Building Info &amp; Assumptions'!F437</f>
        <v>8078561.9243999971</v>
      </c>
      <c r="G23" s="200">
        <f>'Building Info &amp; Assumptions'!G437</f>
        <v>8361311.591753996</v>
      </c>
      <c r="H23" s="200">
        <f>'Building Info &amp; Assumptions'!H437</f>
        <v>8653957.4974653851</v>
      </c>
      <c r="I23" s="200">
        <f>'Building Info &amp; Assumptions'!I437</f>
        <v>8956846.0098766722</v>
      </c>
      <c r="J23" s="200">
        <f>'Building Info &amp; Assumptions'!J437</f>
        <v>9270335.6202223543</v>
      </c>
      <c r="K23" s="200">
        <f>'Building Info &amp; Assumptions'!K437</f>
        <v>9594797.3669301365</v>
      </c>
      <c r="L23" s="196">
        <f>'Building Info &amp; Assumptions'!L437</f>
        <v>9930615.2747726906</v>
      </c>
      <c r="M23" s="196">
        <f>'Building Info &amp; Assumptions'!M437</f>
        <v>10278186.809389735</v>
      </c>
      <c r="N23" s="196">
        <f>'Building Info &amp; Assumptions'!N437</f>
        <v>10637923.347718375</v>
      </c>
      <c r="O23" s="196">
        <f>'Building Info &amp; Assumptions'!O437</f>
        <v>11010250.664888518</v>
      </c>
      <c r="P23" s="196">
        <f>'Building Info &amp; Assumptions'!P437</f>
        <v>11395609.438159615</v>
      </c>
      <c r="Q23" s="196">
        <f>'Building Info &amp; Assumptions'!Q437</f>
        <v>11794455.7684952</v>
      </c>
      <c r="R23" s="196">
        <f>'Building Info &amp; Assumptions'!R437</f>
        <v>12207261.720392531</v>
      </c>
      <c r="S23" s="196">
        <f>'Building Info &amp; Assumptions'!S437</f>
        <v>12634515.880606268</v>
      </c>
      <c r="T23" s="196">
        <f>'Building Info &amp; Assumptions'!T437</f>
        <v>13076723.936427485</v>
      </c>
      <c r="U23" s="196">
        <f>'Building Info &amp; Assumptions'!U437</f>
        <v>13534409.274202446</v>
      </c>
    </row>
    <row r="24" spans="1:22">
      <c r="A24" s="94" t="str">
        <f>'Building Info &amp; Assumptions'!A438</f>
        <v>Administrative</v>
      </c>
      <c r="B24" s="200">
        <f>'Building Info &amp; Assumptions'!B438</f>
        <v>6680000</v>
      </c>
      <c r="C24" s="200">
        <f>'Building Info &amp; Assumptions'!C438</f>
        <v>6913799.9999999991</v>
      </c>
      <c r="D24" s="200">
        <f>'Building Info &amp; Assumptions'!D438</f>
        <v>7155782.9999999981</v>
      </c>
      <c r="E24" s="200">
        <f>'Building Info &amp; Assumptions'!E438</f>
        <v>7406235.4049999975</v>
      </c>
      <c r="F24" s="200">
        <f>'Building Info &amp; Assumptions'!F438</f>
        <v>7665453.6441749968</v>
      </c>
      <c r="G24" s="200">
        <f>'Building Info &amp; Assumptions'!G438</f>
        <v>7933744.5217211209</v>
      </c>
      <c r="H24" s="200">
        <f>'Building Info &amp; Assumptions'!H438</f>
        <v>8211425.5799813597</v>
      </c>
      <c r="I24" s="200">
        <f>'Building Info &amp; Assumptions'!I438</f>
        <v>8498825.4752807058</v>
      </c>
      <c r="J24" s="200">
        <f>'Building Info &amp; Assumptions'!J438</f>
        <v>8796284.3669155296</v>
      </c>
      <c r="K24" s="200">
        <f>'Building Info &amp; Assumptions'!K438</f>
        <v>9104154.3197575733</v>
      </c>
      <c r="L24" s="196">
        <f>'Building Info &amp; Assumptions'!L438</f>
        <v>9422799.7209490873</v>
      </c>
      <c r="M24" s="196">
        <f>'Building Info &amp; Assumptions'!M438</f>
        <v>9752597.7111823037</v>
      </c>
      <c r="N24" s="196">
        <f>'Building Info &amp; Assumptions'!N438</f>
        <v>10093938.631073684</v>
      </c>
      <c r="O24" s="196">
        <f>'Building Info &amp; Assumptions'!O438</f>
        <v>10447226.483161261</v>
      </c>
      <c r="P24" s="196">
        <f>'Building Info &amp; Assumptions'!P438</f>
        <v>10812879.410071904</v>
      </c>
      <c r="Q24" s="196">
        <f>'Building Info &amp; Assumptions'!Q438</f>
        <v>11191330.18942442</v>
      </c>
      <c r="R24" s="196">
        <f>'Building Info &amp; Assumptions'!R438</f>
        <v>11583026.746054273</v>
      </c>
      <c r="S24" s="196">
        <f>'Building Info &amp; Assumptions'!S438</f>
        <v>11988432.682166172</v>
      </c>
      <c r="T24" s="196">
        <f>'Building Info &amp; Assumptions'!T438</f>
        <v>12408027.826041987</v>
      </c>
      <c r="U24" s="196">
        <f>'Building Info &amp; Assumptions'!U438</f>
        <v>12842308.799953455</v>
      </c>
    </row>
    <row r="25" spans="1:22">
      <c r="A25" s="94" t="str">
        <f>'Building Info &amp; Assumptions'!A439</f>
        <v>Fixed</v>
      </c>
      <c r="B25" s="200">
        <f>'Building Info &amp; Assumptions'!B439</f>
        <v>2279999.9999999995</v>
      </c>
      <c r="C25" s="200">
        <f>'Building Info &amp; Assumptions'!C439</f>
        <v>2359799.9999999995</v>
      </c>
      <c r="D25" s="200">
        <f>'Building Info &amp; Assumptions'!D439</f>
        <v>2442392.9999999995</v>
      </c>
      <c r="E25" s="200">
        <f>'Building Info &amp; Assumptions'!E439</f>
        <v>2527876.7549999994</v>
      </c>
      <c r="F25" s="200">
        <f>'Building Info &amp; Assumptions'!F439</f>
        <v>2616352.4414249994</v>
      </c>
      <c r="G25" s="200">
        <f>'Building Info &amp; Assumptions'!G439</f>
        <v>2707924.7768748743</v>
      </c>
      <c r="H25" s="200">
        <f>'Building Info &amp; Assumptions'!H439</f>
        <v>2802702.1440654946</v>
      </c>
      <c r="I25" s="200">
        <f>'Building Info &amp; Assumptions'!I439</f>
        <v>2900796.7191077867</v>
      </c>
      <c r="J25" s="200">
        <f>'Building Info &amp; Assumptions'!J439</f>
        <v>3002324.6042765588</v>
      </c>
      <c r="K25" s="200">
        <f>'Building Info &amp; Assumptions'!K439</f>
        <v>3107405.9654262383</v>
      </c>
      <c r="L25" s="196">
        <f>'Building Info &amp; Assumptions'!L439</f>
        <v>3216165.1742161564</v>
      </c>
      <c r="M25" s="196">
        <f>'Building Info &amp; Assumptions'!M439</f>
        <v>3328730.9553137217</v>
      </c>
      <c r="N25" s="196">
        <f>'Building Info &amp; Assumptions'!N439</f>
        <v>3445236.5387497018</v>
      </c>
      <c r="O25" s="196">
        <f>'Building Info &amp; Assumptions'!O439</f>
        <v>3565819.8176059411</v>
      </c>
      <c r="P25" s="196">
        <f>'Building Info &amp; Assumptions'!P439</f>
        <v>3690623.5112221488</v>
      </c>
      <c r="Q25" s="196">
        <f>'Building Info &amp; Assumptions'!Q439</f>
        <v>3819795.3341149236</v>
      </c>
      <c r="R25" s="196">
        <f>'Building Info &amp; Assumptions'!R439</f>
        <v>3953488.1708089458</v>
      </c>
      <c r="S25" s="196">
        <f>'Building Info &amp; Assumptions'!S439</f>
        <v>4091860.2567872587</v>
      </c>
      <c r="T25" s="196">
        <f>'Building Info &amp; Assumptions'!T439</f>
        <v>4235075.3657748122</v>
      </c>
      <c r="U25" s="196">
        <f>'Building Info &amp; Assumptions'!U439</f>
        <v>4383303.0035769306</v>
      </c>
    </row>
    <row r="26" spans="1:22">
      <c r="A26" s="94" t="str">
        <f>'Building Info &amp; Assumptions'!A440</f>
        <v>Parking</v>
      </c>
      <c r="B26" s="200">
        <f>'Building Info &amp; Assumptions'!B440</f>
        <v>2900000</v>
      </c>
      <c r="C26" s="200">
        <f>'Building Info &amp; Assumptions'!C440</f>
        <v>3001500</v>
      </c>
      <c r="D26" s="200">
        <f>'Building Info &amp; Assumptions'!D440</f>
        <v>3106552.4999999995</v>
      </c>
      <c r="E26" s="200">
        <f>'Building Info &amp; Assumptions'!E440</f>
        <v>3215281.8374999994</v>
      </c>
      <c r="F26" s="200">
        <f>'Building Info &amp; Assumptions'!F440</f>
        <v>3327816.7018124992</v>
      </c>
      <c r="G26" s="200">
        <f>'Building Info &amp; Assumptions'!G440</f>
        <v>3444290.2863759366</v>
      </c>
      <c r="H26" s="200">
        <f>'Building Info &amp; Assumptions'!H440</f>
        <v>3564840.4463990941</v>
      </c>
      <c r="I26" s="200">
        <f>'Building Info &amp; Assumptions'!I440</f>
        <v>3689609.8620230621</v>
      </c>
      <c r="J26" s="200">
        <f>'Building Info &amp; Assumptions'!J440</f>
        <v>3818746.2071938692</v>
      </c>
      <c r="K26" s="200">
        <f>'Building Info &amp; Assumptions'!K440</f>
        <v>3952402.3244456542</v>
      </c>
      <c r="L26" s="196">
        <f>'Building Info &amp; Assumptions'!L440</f>
        <v>4090736.4058012515</v>
      </c>
      <c r="M26" s="196">
        <f>'Building Info &amp; Assumptions'!M440</f>
        <v>4233912.180004295</v>
      </c>
      <c r="N26" s="196">
        <f>'Building Info &amp; Assumptions'!N440</f>
        <v>4382099.1063044453</v>
      </c>
      <c r="O26" s="196">
        <f>'Building Info &amp; Assumptions'!O440</f>
        <v>4535472.5750251003</v>
      </c>
      <c r="P26" s="196">
        <f>'Building Info &amp; Assumptions'!P440</f>
        <v>4694214.1151509788</v>
      </c>
      <c r="Q26" s="196">
        <f>'Building Info &amp; Assumptions'!Q440</f>
        <v>4858511.6091812626</v>
      </c>
      <c r="R26" s="196">
        <f>'Building Info &amp; Assumptions'!R440</f>
        <v>5028559.5155026065</v>
      </c>
      <c r="S26" s="196">
        <f>'Building Info &amp; Assumptions'!S440</f>
        <v>5204559.0985451974</v>
      </c>
      <c r="T26" s="196">
        <f>'Building Info &amp; Assumptions'!T440</f>
        <v>5386718.6669942793</v>
      </c>
      <c r="U26" s="196">
        <f>'Building Info &amp; Assumptions'!U440</f>
        <v>5575253.820339079</v>
      </c>
    </row>
    <row r="27" spans="1:22">
      <c r="A27" s="94" t="s">
        <v>572</v>
      </c>
      <c r="B27" s="200">
        <f>+'Building Info &amp; Assumptions'!B$409</f>
        <v>0</v>
      </c>
      <c r="C27" s="200">
        <f>+'Building Info &amp; Assumptions'!C$409</f>
        <v>0</v>
      </c>
      <c r="D27" s="200">
        <f>+'Building Info &amp; Assumptions'!D$409</f>
        <v>0</v>
      </c>
      <c r="E27" s="200">
        <f>+'Building Info &amp; Assumptions'!E$409</f>
        <v>0</v>
      </c>
      <c r="F27" s="200">
        <f>+'Building Info &amp; Assumptions'!F$409</f>
        <v>0</v>
      </c>
      <c r="G27" s="200">
        <f>+'Building Info &amp; Assumptions'!G$409</f>
        <v>0</v>
      </c>
      <c r="H27" s="200">
        <f>+'Building Info &amp; Assumptions'!H$409</f>
        <v>0</v>
      </c>
      <c r="I27" s="200">
        <f>+'Building Info &amp; Assumptions'!I$409</f>
        <v>0</v>
      </c>
      <c r="J27" s="200">
        <f>+'Building Info &amp; Assumptions'!J$409</f>
        <v>0</v>
      </c>
      <c r="K27" s="200">
        <f>+'Building Info &amp; Assumptions'!K$409</f>
        <v>0</v>
      </c>
      <c r="L27" s="200">
        <f>+'Building Info &amp; Assumptions'!L$409</f>
        <v>0</v>
      </c>
      <c r="M27" s="200">
        <f>+'Building Info &amp; Assumptions'!M$409</f>
        <v>0</v>
      </c>
      <c r="N27" s="200">
        <f>+'Building Info &amp; Assumptions'!N$409</f>
        <v>0</v>
      </c>
      <c r="O27" s="200">
        <f>+'Building Info &amp; Assumptions'!O$409</f>
        <v>0</v>
      </c>
      <c r="P27" s="200">
        <f>+'Building Info &amp; Assumptions'!P$409</f>
        <v>0</v>
      </c>
      <c r="Q27" s="200">
        <f>+'Building Info &amp; Assumptions'!Q$409</f>
        <v>0</v>
      </c>
      <c r="R27" s="200">
        <f>+'Building Info &amp; Assumptions'!R$409</f>
        <v>0</v>
      </c>
      <c r="S27" s="200">
        <f>+'Building Info &amp; Assumptions'!S$409</f>
        <v>0</v>
      </c>
      <c r="T27" s="200">
        <f>+'Building Info &amp; Assumptions'!T$409</f>
        <v>0</v>
      </c>
      <c r="U27" s="200">
        <f>+'Building Info &amp; Assumptions'!U$409</f>
        <v>0</v>
      </c>
    </row>
    <row r="28" spans="1:22" s="110" customFormat="1">
      <c r="A28" s="271" t="s">
        <v>6</v>
      </c>
      <c r="B28" s="272">
        <f>SUMIF(Alternatives!$I$15:$I$24,B11,Alternatives!$G$15:$G$24)</f>
        <v>0</v>
      </c>
      <c r="C28" s="272">
        <f ca="1">SUMIF(Alternatives!$I$15:$I$24,C11,Alternatives!$G$15:$G$24)</f>
        <v>0</v>
      </c>
      <c r="D28" s="272">
        <f>SUMIF(Alternatives!$I$15:$I$24,D11,Alternatives!$G$15:$G$24)</f>
        <v>0</v>
      </c>
      <c r="E28" s="272">
        <f>SUMIF(Alternatives!$I$15:$I$24,E11,Alternatives!$G$15:$G$24)</f>
        <v>0</v>
      </c>
      <c r="F28" s="272">
        <f>SUMIF(Alternatives!$I$15:$I$24,F11,Alternatives!$G$15:$G$24)</f>
        <v>0</v>
      </c>
      <c r="G28" s="272">
        <f>SUMIF(Alternatives!$I$15:$I$24,G11,Alternatives!$G$15:$G$24)</f>
        <v>0</v>
      </c>
      <c r="H28" s="272">
        <f ca="1">SUMIF(Alternatives!$I$15:$I$24,H11,Alternatives!$G$15:$G$24)</f>
        <v>0</v>
      </c>
      <c r="I28" s="272">
        <f>SUMIF(Alternatives!$I$15:$I$24,I11,Alternatives!$G$15:$G$24)</f>
        <v>0</v>
      </c>
      <c r="J28" s="272">
        <f>SUMIF(Alternatives!$I$15:$I$24,J11,Alternatives!$G$15:$G$24)</f>
        <v>0</v>
      </c>
      <c r="K28" s="272">
        <f>SUMIF(Alternatives!$I$15:$I$24,K11,Alternatives!$G$15:$G$24)</f>
        <v>0</v>
      </c>
      <c r="L28" s="272">
        <f>SUMIF(Alternatives!$I$15:$I$24,L11,Alternatives!$G$15:$G$24)</f>
        <v>0</v>
      </c>
      <c r="M28" s="272">
        <f ca="1">SUMIF(Alternatives!$I$15:$I$24,M11,Alternatives!$G$15:$G$24)</f>
        <v>0</v>
      </c>
      <c r="N28" s="272">
        <f>SUMIF(Alternatives!$I$15:$I$24,N11,Alternatives!$G$15:$G$24)</f>
        <v>0</v>
      </c>
      <c r="O28" s="272">
        <f>SUMIF(Alternatives!$I$15:$I$24,O11,Alternatives!$G$15:$G$24)</f>
        <v>0</v>
      </c>
      <c r="P28" s="272">
        <f>SUMIF(Alternatives!$I$15:$I$24,P11,Alternatives!$G$15:$G$24)</f>
        <v>0</v>
      </c>
      <c r="Q28" s="272">
        <f>SUMIF(Alternatives!$I$15:$I$24,Q11,Alternatives!$G$15:$G$24)</f>
        <v>0</v>
      </c>
      <c r="R28" s="272">
        <f ca="1">SUMIF(Alternatives!$I$15:$I$24,R11,Alternatives!$G$15:$G$24)</f>
        <v>0</v>
      </c>
      <c r="S28" s="272">
        <f>SUMIF(Alternatives!$I$15:$I$24,S11,Alternatives!$G$15:$G$24)</f>
        <v>0</v>
      </c>
      <c r="T28" s="272">
        <f>SUMIF(Alternatives!$I$15:$I$24,T11,Alternatives!$G$15:$G$24)</f>
        <v>0</v>
      </c>
      <c r="U28" s="272">
        <f>SUMIF(Alternatives!$I$15:$I$24,U11,Alternatives!$G$15:$G$24)</f>
        <v>0</v>
      </c>
    </row>
    <row r="29" spans="1:22">
      <c r="A29" s="271" t="s">
        <v>5</v>
      </c>
      <c r="B29" s="272">
        <f>SUMIF(Alternatives!$I$15:$I$17,B11,Alternatives!$F$15:$F$17)+SUMIF(Alternatives!$I$20:$I$24,B11,Alternatives!$F$20:$F$24)</f>
        <v>0</v>
      </c>
      <c r="C29" s="272">
        <f ca="1">IF($B$6&gt;=C11, ROUND((SUMIF(Alternatives!$I$15:$I$17,C11,Alternatives!$F$15:$F$17)+SUMIF(Alternatives!$I$20:$I$24,C11,Alternatives!$F$20:$F$24))*(1+'Building Info &amp; Assumptions'!$E$77)^B11/1000,1)*1000,0)</f>
        <v>7607300</v>
      </c>
      <c r="D29" s="272">
        <f>IF($B$6&gt;=D11, ROUND((SUMIF(Alternatives!$I$15:$I$17,D11,Alternatives!$F$15:$F$17)+SUMIF(Alternatives!$I$20:$I$24,D11,Alternatives!$F$20:$F$24))*(1+'Building Info &amp; Assumptions'!$E$77)^C11/1000,1)*1000,0)</f>
        <v>0</v>
      </c>
      <c r="E29" s="272">
        <f>IF($B$6&gt;=E11, ROUND((SUMIF(Alternatives!$I$15:$I$17,E11,Alternatives!$F$15:$F$17)+SUMIF(Alternatives!$I$20:$I$24,E11,Alternatives!$F$20:$F$24))*(1+'Building Info &amp; Assumptions'!$E$77)^D11/1000,1)*1000,0)</f>
        <v>0</v>
      </c>
      <c r="F29" s="272">
        <f>IF($B$6&gt;=F11, ROUND((SUMIF(Alternatives!$I$15:$I$17,F11,Alternatives!$F$15:$F$17)+SUMIF(Alternatives!$I$20:$I$24,F11,Alternatives!$F$20:$F$24))*(1+'Building Info &amp; Assumptions'!$E$77)^E11/1000,1)*1000,0)</f>
        <v>0</v>
      </c>
      <c r="G29" s="272">
        <f>IF($B$6&gt;=G11, ROUND((SUMIF(Alternatives!$I$15:$I$17,G11,Alternatives!$F$15:$F$17)+SUMIF(Alternatives!$I$20:$I$24,G11,Alternatives!$F$20:$F$24))*(1+'Building Info &amp; Assumptions'!$E$77)^F11/1000,1)*1000,0)</f>
        <v>0</v>
      </c>
      <c r="H29" s="272">
        <f ca="1">IF($B$6&gt;=H11, ROUND((SUMIF(Alternatives!$I$15:$I$17,H11,Alternatives!$F$15:$F$17)+SUMIF(Alternatives!$I$20:$I$24,H11,Alternatives!$F$20:$F$24))*(1+'Building Info &amp; Assumptions'!$E$77)^G11/1000,1)*1000,0)</f>
        <v>7006800</v>
      </c>
      <c r="I29" s="272">
        <f>IF($B$6&gt;=I11, ROUND((SUMIF(Alternatives!$I$15:$I$17,I11,Alternatives!$F$15:$F$17)+SUMIF(Alternatives!$I$20:$I$24,I11,Alternatives!$F$20:$F$24))*(1+'Building Info &amp; Assumptions'!$E$77)^H11/1000,1)*1000,0)</f>
        <v>0</v>
      </c>
      <c r="J29" s="272">
        <f>IF($B$6&gt;=J11, ROUND((SUMIF(Alternatives!$I$15:$I$17,J11,Alternatives!$F$15:$F$17)+SUMIF(Alternatives!$I$20:$I$24,J11,Alternatives!$F$20:$F$24))*(1+'Building Info &amp; Assumptions'!$E$77)^I11/1000,1)*1000,0)</f>
        <v>0</v>
      </c>
      <c r="K29" s="272">
        <f>IF($B$6&gt;=K11, ROUND((SUMIF(Alternatives!$I$15:$I$17,K11,Alternatives!$F$15:$F$17)+SUMIF(Alternatives!$I$20:$I$24,K11,Alternatives!$F$20:$F$24))*(1+'Building Info &amp; Assumptions'!$E$77)^J11/1000,1)*1000,0)</f>
        <v>0</v>
      </c>
      <c r="L29" s="272">
        <f>IF($B$6&gt;=L11, ROUND((SUMIF(Alternatives!$I$15:$I$17,L11,Alternatives!$F$15:$F$17)+SUMIF(Alternatives!$I$20:$I$24,L11,Alternatives!$F$20:$F$24))*(1+'Building Info &amp; Assumptions'!$E$77)^K11/1000,1)*1000,0)</f>
        <v>0</v>
      </c>
      <c r="M29" s="272">
        <f ca="1">IF($B$6&gt;=M11, ROUND((SUMIF(Alternatives!$I$15:$I$17,M11,Alternatives!$F$15:$F$17)+SUMIF(Alternatives!$I$20:$I$24,M11,Alternatives!$F$20:$F$24))*(1+'Building Info &amp; Assumptions'!$E$77)^L11/1000,1)*1000,0)</f>
        <v>4379900</v>
      </c>
      <c r="N29" s="272">
        <f>IF($B$6&gt;=N11, ROUND((SUMIF(Alternatives!$I$15:$I$17,N11,Alternatives!$F$15:$F$17)+SUMIF(Alternatives!$I$20:$I$24,N11,Alternatives!$F$20:$F$24))*(1+'Building Info &amp; Assumptions'!$E$77)^M11/1000,1)*1000,0)</f>
        <v>0</v>
      </c>
      <c r="O29" s="272">
        <f>IF($B$6&gt;=O11, ROUND((SUMIF(Alternatives!$I$15:$I$17,O11,Alternatives!$F$15:$F$17)+SUMIF(Alternatives!$I$20:$I$24,O11,Alternatives!$F$20:$F$24))*(1+'Building Info &amp; Assumptions'!$E$77)^N11/1000,1)*1000,0)</f>
        <v>0</v>
      </c>
      <c r="P29" s="272">
        <f>IF($B$6&gt;=P11, ROUND((SUMIF(Alternatives!$I$15:$I$17,P11,Alternatives!$F$15:$F$17)+SUMIF(Alternatives!$I$20:$I$24,P11,Alternatives!$F$20:$F$24))*(1+'Building Info &amp; Assumptions'!$E$77)^O11/1000,1)*1000,0)</f>
        <v>0</v>
      </c>
      <c r="Q29" s="272">
        <f>IF($B$6&gt;=Q11, ROUND((SUMIF(Alternatives!$I$15:$I$17,Q11,Alternatives!$F$15:$F$17)+SUMIF(Alternatives!$I$20:$I$24,Q11,Alternatives!$F$20:$F$24))*(1+'Building Info &amp; Assumptions'!$E$77)^P11/1000,1)*1000,0)</f>
        <v>0</v>
      </c>
      <c r="R29" s="272">
        <f ca="1">IF($B$6&gt;=R11, ROUND((SUMIF(Alternatives!$I$15:$I$17,R11,Alternatives!$F$15:$F$17)+SUMIF(Alternatives!$I$20:$I$24,R11,Alternatives!$F$20:$F$24))*(1+'Building Info &amp; Assumptions'!$E$77)^Q11/1000,1)*1000,0)</f>
        <v>0</v>
      </c>
      <c r="S29" s="272">
        <f>IF($B$6&gt;=S11, ROUND((SUMIF(Alternatives!$I$15:$I$17,S11,Alternatives!$F$15:$F$17)+SUMIF(Alternatives!$I$20:$I$24,S11,Alternatives!$F$20:$F$24))*(1+'Building Info &amp; Assumptions'!$E$77)^R11/1000,1)*1000,0)</f>
        <v>0</v>
      </c>
      <c r="T29" s="272">
        <f>IF($B$6&gt;=T11, ROUND((SUMIF(Alternatives!$I$15:$I$17,T11,Alternatives!$F$15:$F$17)+SUMIF(Alternatives!$I$20:$I$24,T11,Alternatives!$F$20:$F$24))*(1+'Building Info &amp; Assumptions'!$E$77)^S11/1000,1)*1000,0)</f>
        <v>0</v>
      </c>
      <c r="U29" s="272">
        <f>IF($B$6&gt;=U11, ROUND((SUMIF(Alternatives!$I$15:$I$17,U11,Alternatives!$F$15:$F$17)+SUMIF(Alternatives!$I$20:$I$24,U11,Alternatives!$F$20:$F$24))*(1+'Building Info &amp; Assumptions'!$E$77)^T11/1000,1)*1000,0)</f>
        <v>0</v>
      </c>
    </row>
    <row r="30" spans="1:22">
      <c r="A30" s="271"/>
      <c r="B30" s="272"/>
      <c r="C30" s="272"/>
      <c r="D30" s="272"/>
      <c r="E30" s="272"/>
      <c r="F30" s="272"/>
      <c r="G30" s="272"/>
      <c r="H30" s="272"/>
      <c r="I30" s="272"/>
      <c r="J30" s="272"/>
      <c r="K30" s="272"/>
      <c r="L30" s="272"/>
      <c r="M30" s="272"/>
      <c r="N30" s="272"/>
      <c r="O30" s="272"/>
      <c r="P30" s="272"/>
      <c r="Q30" s="272"/>
      <c r="R30" s="272"/>
      <c r="S30" s="272"/>
      <c r="T30" s="272"/>
      <c r="U30" s="272"/>
    </row>
    <row r="31" spans="1:22" s="110" customFormat="1">
      <c r="A31" s="571" t="s">
        <v>573</v>
      </c>
      <c r="B31" s="220">
        <f>SUMIFS(Alternatives!$D$15:$D$17,Alternatives!$I$15:$I$17,B11,Alternatives!$H$15:$H$17,"Yes")+SUMIFS(Alternatives!$D$20:$D$27,Alternatives!$I$20:$I$27,B11,Alternatives!$H$20:$H$27,"Yes")</f>
        <v>0</v>
      </c>
      <c r="C31" s="220">
        <f>(SUMIFS(Alternatives!$D$15:$D$17,Alternatives!$I$15:$I$17,C$11,Alternatives!$H$15:$H$17,"Yes")+SUMIFS(Alternatives!$D$20:$D$27,Alternatives!$I$20:$I$27,C11,Alternatives!$H$20:$H$27,"Yes"))*(1+'Building Info &amp; Assumptions'!$E$77)^B$11</f>
        <v>0</v>
      </c>
      <c r="D31" s="220">
        <f>(SUMIFS(Alternatives!$D$15:$D$17,Alternatives!$I$15:$I$17,D$11,Alternatives!$H$15:$H$17,"Yes")+SUMIFS(Alternatives!$D$20:$D$27,Alternatives!$I$20:$I$27,D11,Alternatives!$H$20:$H$27,"Yes"))*(1+'Building Info &amp; Assumptions'!$E$77)^C$11</f>
        <v>0</v>
      </c>
      <c r="E31" s="220">
        <f>(SUMIFS(Alternatives!$D$15:$D$17,Alternatives!$I$15:$I$17,E$11,Alternatives!$H$15:$H$17,"Yes")+SUMIFS(Alternatives!$D$20:$D$27,Alternatives!$I$20:$I$27,E11,Alternatives!$H$20:$H$27,"Yes"))*(1+'Building Info &amp; Assumptions'!$E$77)^D$11</f>
        <v>0</v>
      </c>
      <c r="F31" s="220">
        <f>(SUMIFS(Alternatives!$D$15:$D$17,Alternatives!$I$15:$I$17,F$11,Alternatives!$H$15:$H$17,"Yes")+SUMIFS(Alternatives!$D$20:$D$27,Alternatives!$I$20:$I$27,F11,Alternatives!$H$20:$H$27,"Yes"))*(1+'Building Info &amp; Assumptions'!$E$77)^E$11</f>
        <v>0</v>
      </c>
      <c r="G31" s="220">
        <f>(SUMIFS(Alternatives!$D$15:$D$17,Alternatives!$I$15:$I$17,G$11,Alternatives!$H$15:$H$17,"Yes")+SUMIFS(Alternatives!$D$20:$D$27,Alternatives!$I$20:$I$27,G11,Alternatives!$H$20:$H$27,"Yes"))*(1+'Building Info &amp; Assumptions'!$E$77)^F$11</f>
        <v>0</v>
      </c>
      <c r="H31" s="220">
        <f ca="1">(SUMIFS(Alternatives!$D$15:$D$17,Alternatives!$I$15:$I$17,H$11,Alternatives!$H$15:$H$17,"Yes")+SUMIFS(Alternatives!$D$20:$D$27,Alternatives!$I$20:$I$27,H11,Alternatives!$H$20:$H$27,"Yes"))*(1+'Building Info &amp; Assumptions'!$E$77)^G$11</f>
        <v>92813.69416031627</v>
      </c>
      <c r="I31" s="220">
        <f>(SUMIFS(Alternatives!$D$15:$D$17,Alternatives!$I$15:$I$17,I$11,Alternatives!$H$15:$H$17,"Yes")+SUMIFS(Alternatives!$D$20:$D$27,Alternatives!$I$20:$I$27,I11,Alternatives!$H$20:$H$27,"Yes"))*(1+'Building Info &amp; Assumptions'!$E$77)^H$11</f>
        <v>0</v>
      </c>
      <c r="J31" s="220">
        <f>(SUMIFS(Alternatives!$D$15:$D$17,Alternatives!$I$15:$I$17,J$11,Alternatives!$H$15:$H$17,"Yes")+SUMIFS(Alternatives!$D$20:$D$27,Alternatives!$I$20:$I$27,J11,Alternatives!$H$20:$H$27,"Yes"))*(1+'Building Info &amp; Assumptions'!$E$77)^I$11</f>
        <v>0</v>
      </c>
      <c r="K31" s="220">
        <f>(SUMIFS(Alternatives!$D$15:$D$17,Alternatives!$I$15:$I$17,K$11,Alternatives!$H$15:$H$17,"Yes")+SUMIFS(Alternatives!$D$20:$D$27,Alternatives!$I$20:$I$27,K11,Alternatives!$H$20:$H$27,"Yes"))*(1+'Building Info &amp; Assumptions'!$E$77)^J$11</f>
        <v>0</v>
      </c>
      <c r="L31" s="220">
        <f>(SUMIFS(Alternatives!$D$15:$D$17,Alternatives!$I$15:$I$17,L$11,Alternatives!$H$15:$H$17,"Yes")+SUMIFS(Alternatives!$D$20:$D$27,Alternatives!$I$20:$I$27,L11,Alternatives!$H$20:$H$27,"Yes"))*(1+'Building Info &amp; Assumptions'!$E$77)^K$11</f>
        <v>0</v>
      </c>
      <c r="M31" s="220">
        <f>(SUMIFS(Alternatives!$D$15:$D$17,Alternatives!$I$15:$I$17,M$11,Alternatives!$H$15:$H$17,"Yes")+SUMIFS(Alternatives!$D$20:$D$27,Alternatives!$I$20:$I$27,M11,Alternatives!$H$20:$H$27,"Yes"))*(1+'Building Info &amp; Assumptions'!$E$77)^L$11</f>
        <v>0</v>
      </c>
      <c r="N31" s="220">
        <f>(SUMIFS(Alternatives!$D$15:$D$17,Alternatives!$I$15:$I$17,N$11,Alternatives!$H$15:$H$17,"Yes")+SUMIFS(Alternatives!$D$20:$D$27,Alternatives!$I$20:$I$27,N11,Alternatives!$H$20:$H$27,"Yes"))*(1+'Building Info &amp; Assumptions'!$E$77)^M$11</f>
        <v>0</v>
      </c>
      <c r="O31" s="220">
        <f>(SUMIFS(Alternatives!$D$15:$D$17,Alternatives!$I$15:$I$17,O$11,Alternatives!$H$15:$H$17,"Yes")+SUMIFS(Alternatives!$D$20:$D$27,Alternatives!$I$20:$I$27,O11,Alternatives!$H$20:$H$27,"Yes"))*(1+'Building Info &amp; Assumptions'!$E$77)^N$11</f>
        <v>0</v>
      </c>
      <c r="P31" s="220">
        <f>(SUMIFS(Alternatives!$D$15:$D$17,Alternatives!$I$15:$I$17,P$11,Alternatives!$H$15:$H$17,"Yes")+SUMIFS(Alternatives!$D$20:$D$27,Alternatives!$I$20:$I$27,P11,Alternatives!$H$20:$H$27,"Yes"))*(1+'Building Info &amp; Assumptions'!$E$77)^O$11</f>
        <v>0</v>
      </c>
      <c r="Q31" s="220">
        <f>(SUMIFS(Alternatives!$D$15:$D$17,Alternatives!$I$15:$I$17,Q$11,Alternatives!$H$15:$H$17,"Yes")+SUMIFS(Alternatives!$D$20:$D$27,Alternatives!$I$20:$I$27,Q11,Alternatives!$H$20:$H$27,"Yes"))*(1+'Building Info &amp; Assumptions'!$E$77)^P$11</f>
        <v>0</v>
      </c>
      <c r="R31" s="220">
        <f>(SUMIFS(Alternatives!$D$15:$D$17,Alternatives!$I$15:$I$17,R$11,Alternatives!$H$15:$H$17,"Yes")+SUMIFS(Alternatives!$D$20:$D$27,Alternatives!$I$20:$I$27,R11,Alternatives!$H$20:$H$27,"Yes"))*(1+'Building Info &amp; Assumptions'!$E$77)^Q$11</f>
        <v>0</v>
      </c>
      <c r="S31" s="220">
        <f>(SUMIFS(Alternatives!$D$15:$D$17,Alternatives!$I$15:$I$17,S$11,Alternatives!$H$15:$H$17,"Yes")+SUMIFS(Alternatives!$D$20:$D$27,Alternatives!$I$20:$I$27,S11,Alternatives!$H$20:$H$27,"Yes"))*(1+'Building Info &amp; Assumptions'!$E$77)^R$11</f>
        <v>0</v>
      </c>
      <c r="T31" s="220">
        <f>(SUMIFS(Alternatives!$D$15:$D$17,Alternatives!$I$15:$I$17,T$11,Alternatives!$H$15:$H$17,"Yes")+SUMIFS(Alternatives!$D$20:$D$27,Alternatives!$I$20:$I$27,T11,Alternatives!$H$20:$H$27,"Yes"))*(1+'Building Info &amp; Assumptions'!$E$77)^S$11</f>
        <v>0</v>
      </c>
      <c r="U31" s="220">
        <f>(SUMIFS(Alternatives!$D$15:$D$17,Alternatives!$I$15:$I$17,U$11,Alternatives!$H$15:$H$17,"Yes")+SUMIFS(Alternatives!$D$20:$D$27,Alternatives!$I$20:$I$27,U11,Alternatives!$H$20:$H$27,"Yes"))*(1+'Building Info &amp; Assumptions'!$E$77)^T$11</f>
        <v>0</v>
      </c>
    </row>
    <row r="32" spans="1:22" s="110" customFormat="1">
      <c r="A32" s="571" t="s">
        <v>574</v>
      </c>
      <c r="B32" s="272">
        <f>SUMIFS(Alternatives!$G$15:$G$24,Alternatives!$I$15:$I$24,B$11,Alternatives!$H$15:$H$24,"Yes")</f>
        <v>0</v>
      </c>
      <c r="C32" s="272">
        <f>SUMIFS(Alternatives!$G$15:$G$24,Alternatives!$I$15:$I$24,C$11,Alternatives!$H$15:$H$24,"Yes")</f>
        <v>0</v>
      </c>
      <c r="D32" s="272">
        <f>SUMIFS(Alternatives!$G$15:$G$24,Alternatives!$I$15:$I$24,D$11,Alternatives!$H$15:$H$24,"Yes")</f>
        <v>0</v>
      </c>
      <c r="E32" s="272">
        <f>SUMIFS(Alternatives!$G$15:$G$24,Alternatives!$I$15:$I$24,E$11,Alternatives!$H$15:$H$24,"Yes")</f>
        <v>0</v>
      </c>
      <c r="F32" s="272">
        <f>SUMIFS(Alternatives!$G$15:$G$24,Alternatives!$I$15:$I$24,F$11,Alternatives!$H$15:$H$24,"Yes")</f>
        <v>0</v>
      </c>
      <c r="G32" s="272">
        <f>SUMIFS(Alternatives!$G$15:$G$24,Alternatives!$I$15:$I$24,G$11,Alternatives!$H$15:$H$24,"Yes")</f>
        <v>0</v>
      </c>
      <c r="H32" s="272">
        <f ca="1">SUMIFS(Alternatives!$G$15:$G$24,Alternatives!$I$15:$I$24,H$11,Alternatives!$H$15:$H$24,"Yes")</f>
        <v>0</v>
      </c>
      <c r="I32" s="272">
        <f>SUMIFS(Alternatives!$G$15:$G$24,Alternatives!$I$15:$I$24,I$11,Alternatives!$H$15:$H$24,"Yes")</f>
        <v>0</v>
      </c>
      <c r="J32" s="272">
        <f>SUMIFS(Alternatives!$G$15:$G$24,Alternatives!$I$15:$I$24,J$11,Alternatives!$H$15:$H$24,"Yes")</f>
        <v>0</v>
      </c>
      <c r="K32" s="272">
        <f>SUMIFS(Alternatives!$G$15:$G$24,Alternatives!$I$15:$I$24,K$11,Alternatives!$H$15:$H$24,"Yes")</f>
        <v>0</v>
      </c>
      <c r="L32" s="272">
        <f>SUMIFS(Alternatives!$G$15:$G$24,Alternatives!$I$15:$I$24,L$11,Alternatives!$H$15:$H$24,"Yes")</f>
        <v>0</v>
      </c>
      <c r="M32" s="272">
        <f>SUMIFS(Alternatives!$G$15:$G$24,Alternatives!$I$15:$I$24,M$11,Alternatives!$H$15:$H$24,"Yes")</f>
        <v>0</v>
      </c>
      <c r="N32" s="272">
        <f>SUMIFS(Alternatives!$G$15:$G$24,Alternatives!$I$15:$I$24,N$11,Alternatives!$H$15:$H$24,"Yes")</f>
        <v>0</v>
      </c>
      <c r="O32" s="272">
        <f>SUMIFS(Alternatives!$G$15:$G$24,Alternatives!$I$15:$I$24,O$11,Alternatives!$H$15:$H$24,"Yes")</f>
        <v>0</v>
      </c>
      <c r="P32" s="272">
        <f>SUMIFS(Alternatives!$G$15:$G$24,Alternatives!$I$15:$I$24,P$11,Alternatives!$H$15:$H$24,"Yes")</f>
        <v>0</v>
      </c>
      <c r="Q32" s="272">
        <f>SUMIFS(Alternatives!$G$15:$G$24,Alternatives!$I$15:$I$24,Q$11,Alternatives!$H$15:$H$24,"Yes")</f>
        <v>0</v>
      </c>
      <c r="R32" s="272">
        <f>SUMIFS(Alternatives!$G$15:$G$24,Alternatives!$I$15:$I$24,R$11,Alternatives!$H$15:$H$24,"Yes")</f>
        <v>0</v>
      </c>
      <c r="S32" s="272">
        <f>SUMIFS(Alternatives!$G$15:$G$24,Alternatives!$I$15:$I$24,S$11,Alternatives!$H$15:$H$24,"Yes")</f>
        <v>0</v>
      </c>
      <c r="T32" s="272">
        <f>SUMIFS(Alternatives!$G$15:$G$24,Alternatives!$I$15:$I$24,T$11,Alternatives!$H$15:$H$24,"Yes")</f>
        <v>0</v>
      </c>
      <c r="U32" s="272">
        <f>SUMIFS(Alternatives!$G$15:$G$24,Alternatives!$I$15:$I$24,U$11,Alternatives!$H$15:$H$24,"Yes")</f>
        <v>0</v>
      </c>
    </row>
    <row r="33" spans="1:21">
      <c r="A33" s="571" t="s">
        <v>575</v>
      </c>
      <c r="B33" s="272">
        <f>SUMIFS(Alternatives!$F$15:$F$17,Alternatives!$I$15:$I$17,B11,Alternatives!$H$15:$H$17,"Yes")+SUMIFS(Alternatives!$F$20:$F$24,Alternatives!$I$20:$I$24,B11,Alternatives!$H$20:$H$24,"Yes")</f>
        <v>0</v>
      </c>
      <c r="C33" s="272">
        <f>IF($B$6&gt;=C$11, (SUMIFS(Alternatives!$F$15:$F$17,Alternatives!$I$15:$I$17,C$11,Alternatives!$H$15:$H$17,"Yes")+SUMIFS(Alternatives!$F$20:$F$24,Alternatives!$I$20:$I$24,C$11,Alternatives!$H$20:$H$24,"Yes"))*(1+'Building Info &amp; Assumptions'!$E$77)^B$11)</f>
        <v>0</v>
      </c>
      <c r="D33" s="272">
        <f>IF($B$6&gt;=D$11, (SUMIFS(Alternatives!$F$15:$F$17,Alternatives!$I$15:$I$17,D$11,Alternatives!$H$15:$H$17,"Yes")+SUMIFS(Alternatives!$F$20:$F$24,Alternatives!$I$20:$I$24,D$11,Alternatives!$H$20:$H$24,"Yes"))*(1+'Building Info &amp; Assumptions'!$E$77)^C$11)</f>
        <v>0</v>
      </c>
      <c r="E33" s="272">
        <f>IF($B$6&gt;=E$11, (SUMIFS(Alternatives!$F$15:$F$17,Alternatives!$I$15:$I$17,E$11,Alternatives!$H$15:$H$17,"Yes")+SUMIFS(Alternatives!$F$20:$F$24,Alternatives!$I$20:$I$24,E$11,Alternatives!$H$20:$H$24,"Yes"))*(1+'Building Info &amp; Assumptions'!$E$77)^D$11)</f>
        <v>0</v>
      </c>
      <c r="F33" s="272">
        <f>IF($B$6&gt;=F$11, (SUMIFS(Alternatives!$F$15:$F$17,Alternatives!$I$15:$I$17,F$11,Alternatives!$H$15:$H$17,"Yes")+SUMIFS(Alternatives!$F$20:$F$24,Alternatives!$I$20:$I$24,F$11,Alternatives!$H$20:$H$24,"Yes"))*(1+'Building Info &amp; Assumptions'!$E$77)^E$11)</f>
        <v>0</v>
      </c>
      <c r="G33" s="272">
        <f>IF($B$6&gt;=G$11, (SUMIFS(Alternatives!$F$15:$F$17,Alternatives!$I$15:$I$17,G$11,Alternatives!$H$15:$H$17,"Yes")+SUMIFS(Alternatives!$F$20:$F$24,Alternatives!$I$20:$I$24,G$11,Alternatives!$H$20:$H$24,"Yes"))*(1+'Building Info &amp; Assumptions'!$E$77)^F$11)</f>
        <v>0</v>
      </c>
      <c r="H33" s="272">
        <f ca="1">IF($B$6&gt;=H$11, (SUMIFS(Alternatives!$F$15:$F$17,Alternatives!$I$15:$I$17,H$11,Alternatives!$H$15:$H$17,"Yes")+SUMIFS(Alternatives!$F$20:$F$24,Alternatives!$I$20:$I$24,H$11,Alternatives!$H$20:$H$24,"Yes"))*(1+'Building Info &amp; Assumptions'!$E$77)^G$11)</f>
        <v>7006755.3601637362</v>
      </c>
      <c r="I33" s="272">
        <f>IF($B$6&gt;=I$11, (SUMIFS(Alternatives!$F$15:$F$17,Alternatives!$I$15:$I$17,I$11,Alternatives!$H$15:$H$17,"Yes")+SUMIFS(Alternatives!$F$20:$F$24,Alternatives!$I$20:$I$24,I$11,Alternatives!$H$20:$H$24,"Yes"))*(1+'Building Info &amp; Assumptions'!$E$77)^H$11)</f>
        <v>0</v>
      </c>
      <c r="J33" s="272">
        <f>IF($B$6&gt;=J$11, (SUMIFS(Alternatives!$F$15:$F$17,Alternatives!$I$15:$I$17,J$11,Alternatives!$H$15:$H$17,"Yes")+SUMIFS(Alternatives!$F$20:$F$24,Alternatives!$I$20:$I$24,J$11,Alternatives!$H$20:$H$24,"Yes"))*(1+'Building Info &amp; Assumptions'!$E$77)^I$11)</f>
        <v>0</v>
      </c>
      <c r="K33" s="272">
        <f>IF($B$6&gt;=K$11, (SUMIFS(Alternatives!$F$15:$F$17,Alternatives!$I$15:$I$17,K$11,Alternatives!$H$15:$H$17,"Yes")+SUMIFS(Alternatives!$F$20:$F$24,Alternatives!$I$20:$I$24,K$11,Alternatives!$H$20:$H$24,"Yes"))*(1+'Building Info &amp; Assumptions'!$E$77)^J$11)</f>
        <v>0</v>
      </c>
      <c r="L33" s="272">
        <f>IF($B$6&gt;=L$11, (SUMIFS(Alternatives!$F$15:$F$17,Alternatives!$I$15:$I$17,L$11,Alternatives!$H$15:$H$17,"Yes")+SUMIFS(Alternatives!$F$20:$F$24,Alternatives!$I$20:$I$24,L$11,Alternatives!$H$20:$H$24,"Yes"))*(1+'Building Info &amp; Assumptions'!$E$77)^K$11)</f>
        <v>0</v>
      </c>
      <c r="M33" s="272">
        <f>IF($B$6&gt;=M$11, (SUMIFS(Alternatives!$F$15:$F$17,Alternatives!$I$15:$I$17,M$11,Alternatives!$H$15:$H$17,"Yes")+SUMIFS(Alternatives!$F$20:$F$24,Alternatives!$I$20:$I$24,M$11,Alternatives!$H$20:$H$24,"Yes"))*(1+'Building Info &amp; Assumptions'!$E$77)^L$11)</f>
        <v>0</v>
      </c>
      <c r="N33" s="272">
        <f>IF($B$6&gt;=N$11, (SUMIFS(Alternatives!$F$15:$F$17,Alternatives!$I$15:$I$17,N$11,Alternatives!$H$15:$H$17,"Yes")+SUMIFS(Alternatives!$F$20:$F$24,Alternatives!$I$20:$I$24,N$11,Alternatives!$H$20:$H$24,"Yes"))*(1+'Building Info &amp; Assumptions'!$E$77)^M$11)</f>
        <v>0</v>
      </c>
      <c r="O33" s="272">
        <f>IF($B$6&gt;=O$11, (SUMIFS(Alternatives!$F$15:$F$17,Alternatives!$I$15:$I$17,O$11,Alternatives!$H$15:$H$17,"Yes")+SUMIFS(Alternatives!$F$20:$F$24,Alternatives!$I$20:$I$24,O$11,Alternatives!$H$20:$H$24,"Yes"))*(1+'Building Info &amp; Assumptions'!$E$77)^N$11)</f>
        <v>0</v>
      </c>
      <c r="P33" s="272">
        <f>IF($B$6&gt;=P$11, (SUMIFS(Alternatives!$F$15:$F$17,Alternatives!$I$15:$I$17,P$11,Alternatives!$H$15:$H$17,"Yes")+SUMIFS(Alternatives!$F$20:$F$24,Alternatives!$I$20:$I$24,P$11,Alternatives!$H$20:$H$24,"Yes"))*(1+'Building Info &amp; Assumptions'!$E$77)^O$11)</f>
        <v>0</v>
      </c>
      <c r="Q33" s="272">
        <f>IF($B$6&gt;=Q$11, (SUMIFS(Alternatives!$F$15:$F$17,Alternatives!$I$15:$I$17,Q$11,Alternatives!$H$15:$H$17,"Yes")+SUMIFS(Alternatives!$F$20:$F$24,Alternatives!$I$20:$I$24,Q$11,Alternatives!$H$20:$H$24,"Yes"))*(1+'Building Info &amp; Assumptions'!$E$77)^P$11)</f>
        <v>0</v>
      </c>
      <c r="R33" s="272">
        <f>IF($B$6&gt;=R$11, (SUMIFS(Alternatives!$F$15:$F$17,Alternatives!$I$15:$I$17,R$11,Alternatives!$H$15:$H$17,"Yes")+SUMIFS(Alternatives!$F$20:$F$24,Alternatives!$I$20:$I$24,R$11,Alternatives!$H$20:$H$24,"Yes"))*(1+'Building Info &amp; Assumptions'!$E$77)^Q$11)</f>
        <v>0</v>
      </c>
      <c r="S33" s="272">
        <f>IF($B$6&gt;=S$11, (SUMIFS(Alternatives!$F$15:$F$17,Alternatives!$I$15:$I$17,S$11,Alternatives!$H$15:$H$17,"Yes")+SUMIFS(Alternatives!$F$20:$F$24,Alternatives!$I$20:$I$24,S$11,Alternatives!$H$20:$H$24,"Yes"))*(1+'Building Info &amp; Assumptions'!$E$77)^R$11)</f>
        <v>0</v>
      </c>
      <c r="T33" s="272">
        <f>IF($B$6&gt;=T$11, (SUMIFS(Alternatives!$F$15:$F$17,Alternatives!$I$15:$I$17,T$11,Alternatives!$H$15:$H$17,"Yes")+SUMIFS(Alternatives!$F$20:$F$24,Alternatives!$I$20:$I$24,T$11,Alternatives!$H$20:$H$24,"Yes"))*(1+'Building Info &amp; Assumptions'!$E$77)^S$11)</f>
        <v>0</v>
      </c>
      <c r="U33" s="272">
        <f>IF($B$6&gt;=U$11, (SUMIFS(Alternatives!$F$15:$F$17,Alternatives!$I$15:$I$17,U$11,Alternatives!$H$15:$H$17,"Yes")+SUMIFS(Alternatives!$F$20:$F$24,Alternatives!$I$20:$I$24,U$11,Alternatives!$H$20:$H$24,"Yes"))*(1+'Building Info &amp; Assumptions'!$E$77)^T$11)</f>
        <v>0</v>
      </c>
    </row>
    <row r="34" spans="1:21">
      <c r="A34" s="110"/>
      <c r="B34" s="204"/>
      <c r="C34" s="205"/>
      <c r="D34" s="205"/>
      <c r="E34" s="205"/>
      <c r="F34" s="205"/>
      <c r="G34" s="205"/>
      <c r="H34" s="205"/>
      <c r="I34" s="205"/>
      <c r="J34" s="205"/>
      <c r="K34" s="205"/>
      <c r="L34" s="205"/>
      <c r="M34" s="205"/>
      <c r="N34" s="205"/>
      <c r="O34" s="205"/>
      <c r="P34" s="205"/>
      <c r="Q34" s="205"/>
      <c r="R34" s="205"/>
      <c r="S34" s="205"/>
      <c r="T34" s="205"/>
      <c r="U34" s="205"/>
    </row>
    <row r="35" spans="1:21">
      <c r="A35" s="202" t="s">
        <v>309</v>
      </c>
      <c r="B35" s="206">
        <f>SUM(B19:B29)</f>
        <v>49405153.05555556</v>
      </c>
      <c r="C35" s="206">
        <f t="shared" ref="C35:U35" ca="1" si="5">SUM(C19:C29)</f>
        <v>58394869.481600001</v>
      </c>
      <c r="D35" s="206">
        <f ca="1">SUM(D19:D29)</f>
        <v>52335463.825215995</v>
      </c>
      <c r="E35" s="206">
        <f t="shared" ca="1" si="5"/>
        <v>53934686.062744156</v>
      </c>
      <c r="F35" s="206">
        <f t="shared" ca="1" si="5"/>
        <v>55586986.027695604</v>
      </c>
      <c r="G35" s="206">
        <f t="shared" ca="1" si="5"/>
        <v>57294180.253397755</v>
      </c>
      <c r="H35" s="206">
        <f t="shared" ca="1" si="5"/>
        <v>65984008.264215119</v>
      </c>
      <c r="I35" s="206">
        <f t="shared" ca="1" si="5"/>
        <v>60799091.962585673</v>
      </c>
      <c r="J35" s="206">
        <f t="shared" ca="1" si="5"/>
        <v>62681709.930013381</v>
      </c>
      <c r="K35" s="206">
        <f t="shared" ca="1" si="5"/>
        <v>64627134.045286849</v>
      </c>
      <c r="L35" s="206">
        <f t="shared" ca="1" si="5"/>
        <v>66637527.530390494</v>
      </c>
      <c r="M35" s="206">
        <f t="shared" ca="1" si="5"/>
        <v>73071813.504853219</v>
      </c>
      <c r="N35" s="206">
        <f t="shared" ca="1" si="5"/>
        <v>70838769.483912393</v>
      </c>
      <c r="O35" s="206">
        <f t="shared" ca="1" si="5"/>
        <v>73057516.966483086</v>
      </c>
      <c r="P35" s="206">
        <f t="shared" ca="1" si="5"/>
        <v>75350621.636164278</v>
      </c>
      <c r="Q35" s="206">
        <f t="shared" ca="1" si="5"/>
        <v>77720641.968096346</v>
      </c>
      <c r="R35" s="206">
        <f t="shared" ca="1" si="5"/>
        <v>80170216.763912156</v>
      </c>
      <c r="S35" s="206">
        <f t="shared" ca="1" si="5"/>
        <v>82702087.77517581</v>
      </c>
      <c r="T35" s="206">
        <f t="shared" ca="1" si="5"/>
        <v>85319087.418400362</v>
      </c>
      <c r="U35" s="206">
        <f t="shared" ca="1" si="5"/>
        <v>88024141.584846586</v>
      </c>
    </row>
    <row r="36" spans="1:21" s="221" customFormat="1">
      <c r="A36" s="571" t="s">
        <v>576</v>
      </c>
      <c r="B36" s="206">
        <f>B31+B32+B33</f>
        <v>0</v>
      </c>
      <c r="C36" s="206">
        <f t="shared" ref="C36:U36" si="6">C31+C32+C33</f>
        <v>0</v>
      </c>
      <c r="D36" s="206">
        <f t="shared" si="6"/>
        <v>0</v>
      </c>
      <c r="E36" s="206">
        <f t="shared" si="6"/>
        <v>0</v>
      </c>
      <c r="F36" s="206">
        <f t="shared" si="6"/>
        <v>0</v>
      </c>
      <c r="G36" s="206">
        <f t="shared" si="6"/>
        <v>0</v>
      </c>
      <c r="H36" s="206">
        <f t="shared" ca="1" si="6"/>
        <v>7099569.0543240523</v>
      </c>
      <c r="I36" s="206">
        <f t="shared" si="6"/>
        <v>0</v>
      </c>
      <c r="J36" s="206">
        <f t="shared" si="6"/>
        <v>0</v>
      </c>
      <c r="K36" s="206">
        <f t="shared" si="6"/>
        <v>0</v>
      </c>
      <c r="L36" s="206">
        <f t="shared" si="6"/>
        <v>0</v>
      </c>
      <c r="M36" s="206">
        <f t="shared" si="6"/>
        <v>0</v>
      </c>
      <c r="N36" s="206">
        <f t="shared" si="6"/>
        <v>0</v>
      </c>
      <c r="O36" s="206">
        <f t="shared" si="6"/>
        <v>0</v>
      </c>
      <c r="P36" s="206">
        <f t="shared" si="6"/>
        <v>0</v>
      </c>
      <c r="Q36" s="206">
        <f t="shared" si="6"/>
        <v>0</v>
      </c>
      <c r="R36" s="206">
        <f t="shared" si="6"/>
        <v>0</v>
      </c>
      <c r="S36" s="206">
        <f t="shared" si="6"/>
        <v>0</v>
      </c>
      <c r="T36" s="206">
        <f t="shared" si="6"/>
        <v>0</v>
      </c>
      <c r="U36" s="206">
        <f t="shared" si="6"/>
        <v>0</v>
      </c>
    </row>
    <row r="37" spans="1:21">
      <c r="A37" s="110"/>
      <c r="B37" s="207"/>
      <c r="C37" s="207"/>
      <c r="D37" s="207"/>
      <c r="E37" s="207"/>
      <c r="F37" s="207"/>
      <c r="G37" s="207"/>
      <c r="H37" s="207"/>
      <c r="I37" s="207"/>
      <c r="J37" s="207"/>
      <c r="K37" s="207"/>
      <c r="L37" s="207"/>
      <c r="M37" s="207"/>
      <c r="N37" s="207"/>
      <c r="O37" s="207"/>
      <c r="P37" s="207"/>
      <c r="Q37" s="207"/>
      <c r="R37" s="207"/>
      <c r="S37" s="207"/>
      <c r="T37" s="207"/>
      <c r="U37" s="207"/>
    </row>
    <row r="38" spans="1:21">
      <c r="A38" s="110" t="s">
        <v>577</v>
      </c>
      <c r="C38" s="208">
        <f t="shared" ref="C38:U38" ca="1" si="7">C35-B35</f>
        <v>8989716.4260444418</v>
      </c>
      <c r="D38" s="208">
        <f t="shared" ca="1" si="7"/>
        <v>-6059405.6563840061</v>
      </c>
      <c r="E38" s="208">
        <f t="shared" ca="1" si="7"/>
        <v>1599222.2375281602</v>
      </c>
      <c r="F38" s="208">
        <f t="shared" ca="1" si="7"/>
        <v>1652299.9649514481</v>
      </c>
      <c r="G38" s="208">
        <f t="shared" ca="1" si="7"/>
        <v>1707194.2257021517</v>
      </c>
      <c r="H38" s="208">
        <f t="shared" ca="1" si="7"/>
        <v>8689828.0108173639</v>
      </c>
      <c r="I38" s="208">
        <f t="shared" ca="1" si="7"/>
        <v>-5184916.3016294464</v>
      </c>
      <c r="J38" s="208">
        <f t="shared" ca="1" si="7"/>
        <v>1882617.9674277082</v>
      </c>
      <c r="K38" s="208">
        <f t="shared" ca="1" si="7"/>
        <v>1945424.1152734682</v>
      </c>
      <c r="L38" s="208">
        <f t="shared" ca="1" si="7"/>
        <v>2010393.4851036444</v>
      </c>
      <c r="M38" s="208">
        <f t="shared" ca="1" si="7"/>
        <v>6434285.9744627252</v>
      </c>
      <c r="N38" s="208">
        <f t="shared" ca="1" si="7"/>
        <v>-2233044.0209408253</v>
      </c>
      <c r="O38" s="208">
        <f t="shared" ca="1" si="7"/>
        <v>2218747.4825706929</v>
      </c>
      <c r="P38" s="208">
        <f t="shared" ca="1" si="7"/>
        <v>2293104.6696811914</v>
      </c>
      <c r="Q38" s="208">
        <f t="shared" ca="1" si="7"/>
        <v>2370020.3319320679</v>
      </c>
      <c r="R38" s="208">
        <f t="shared" ca="1" si="7"/>
        <v>2449574.7958158106</v>
      </c>
      <c r="S38" s="208">
        <f t="shared" ca="1" si="7"/>
        <v>2531871.0112636536</v>
      </c>
      <c r="T38" s="208">
        <f t="shared" ca="1" si="7"/>
        <v>2616999.6432245523</v>
      </c>
      <c r="U38" s="208">
        <f t="shared" ca="1" si="7"/>
        <v>2705054.1664462239</v>
      </c>
    </row>
    <row r="39" spans="1:21">
      <c r="A39" s="110"/>
      <c r="C39" s="209">
        <f t="shared" ref="C39:U39" ca="1" si="8">C38/B35</f>
        <v>0.18195908463102226</v>
      </c>
      <c r="D39" s="209">
        <f t="shared" ca="1" si="8"/>
        <v>-0.10376606215882204</v>
      </c>
      <c r="E39" s="209">
        <f t="shared" ca="1" si="8"/>
        <v>3.0557142721980263E-2</v>
      </c>
      <c r="F39" s="209">
        <f t="shared" ca="1" si="8"/>
        <v>3.063520130680409E-2</v>
      </c>
      <c r="G39" s="209">
        <f t="shared" ca="1" si="8"/>
        <v>3.0712120726451349E-2</v>
      </c>
      <c r="H39" s="209">
        <f t="shared" ca="1" si="8"/>
        <v>0.15167034369606894</v>
      </c>
      <c r="I39" s="209">
        <f t="shared" ca="1" si="8"/>
        <v>-7.8578377367859359E-2</v>
      </c>
      <c r="J39" s="209">
        <f t="shared" ca="1" si="8"/>
        <v>3.0964573756894705E-2</v>
      </c>
      <c r="K39" s="209">
        <f t="shared" ca="1" si="8"/>
        <v>3.1036551450903484E-2</v>
      </c>
      <c r="L39" s="209">
        <f t="shared" ca="1" si="8"/>
        <v>3.1107576017449269E-2</v>
      </c>
      <c r="M39" s="209">
        <f t="shared" ca="1" si="8"/>
        <v>9.655649320915044E-2</v>
      </c>
      <c r="N39" s="209">
        <f t="shared" ca="1" si="8"/>
        <v>-3.0559581237059527E-2</v>
      </c>
      <c r="O39" s="209">
        <f t="shared" ca="1" si="8"/>
        <v>3.1321090114002817E-2</v>
      </c>
      <c r="P39" s="209">
        <f t="shared" ca="1" si="8"/>
        <v>3.1387662281667866E-2</v>
      </c>
      <c r="Q39" s="209">
        <f t="shared" ca="1" si="8"/>
        <v>3.1453228659159255E-2</v>
      </c>
      <c r="R39" s="209">
        <f t="shared" ca="1" si="8"/>
        <v>3.1517686084236669E-2</v>
      </c>
      <c r="S39" s="209">
        <f t="shared" ca="1" si="8"/>
        <v>3.1581192036932978E-2</v>
      </c>
      <c r="T39" s="209">
        <f t="shared" ca="1" si="8"/>
        <v>3.164369502180913E-2</v>
      </c>
      <c r="U39" s="209">
        <f t="shared" ca="1" si="8"/>
        <v>3.1705146507026959E-2</v>
      </c>
    </row>
    <row r="40" spans="1:21">
      <c r="A40" s="110" t="s">
        <v>311</v>
      </c>
      <c r="C40" s="208">
        <f t="shared" ref="C40:U40" ca="1" si="9">C35-$B$35</f>
        <v>8989716.4260444418</v>
      </c>
      <c r="D40" s="208">
        <f t="shared" ca="1" si="9"/>
        <v>2930310.7696604356</v>
      </c>
      <c r="E40" s="208">
        <f t="shared" ca="1" si="9"/>
        <v>4529533.0071885958</v>
      </c>
      <c r="F40" s="208">
        <f t="shared" ca="1" si="9"/>
        <v>6181832.972140044</v>
      </c>
      <c r="G40" s="208">
        <f t="shared" ca="1" si="9"/>
        <v>7889027.1978421956</v>
      </c>
      <c r="H40" s="208">
        <f t="shared" ca="1" si="9"/>
        <v>16578855.208659559</v>
      </c>
      <c r="I40" s="208">
        <f t="shared" ca="1" si="9"/>
        <v>11393938.907030113</v>
      </c>
      <c r="J40" s="208">
        <f t="shared" ca="1" si="9"/>
        <v>13276556.874457821</v>
      </c>
      <c r="K40" s="208">
        <f t="shared" ca="1" si="9"/>
        <v>15221980.989731289</v>
      </c>
      <c r="L40" s="208">
        <f t="shared" ca="1" si="9"/>
        <v>17232374.474834934</v>
      </c>
      <c r="M40" s="208">
        <f t="shared" ca="1" si="9"/>
        <v>23666660.449297659</v>
      </c>
      <c r="N40" s="208">
        <f t="shared" ca="1" si="9"/>
        <v>21433616.428356834</v>
      </c>
      <c r="O40" s="208">
        <f t="shared" ca="1" si="9"/>
        <v>23652363.910927527</v>
      </c>
      <c r="P40" s="208">
        <f t="shared" ca="1" si="9"/>
        <v>25945468.580608718</v>
      </c>
      <c r="Q40" s="208">
        <f t="shared" ca="1" si="9"/>
        <v>28315488.912540786</v>
      </c>
      <c r="R40" s="208">
        <f t="shared" ca="1" si="9"/>
        <v>30765063.708356597</v>
      </c>
      <c r="S40" s="208">
        <f t="shared" ca="1" si="9"/>
        <v>33296934.71962025</v>
      </c>
      <c r="T40" s="208">
        <f t="shared" ca="1" si="9"/>
        <v>35913934.362844802</v>
      </c>
      <c r="U40" s="208">
        <f t="shared" ca="1" si="9"/>
        <v>38618988.529291026</v>
      </c>
    </row>
    <row r="41" spans="1:21">
      <c r="A41" s="110"/>
      <c r="B41" s="207"/>
      <c r="C41" s="207"/>
      <c r="D41" s="207"/>
      <c r="E41" s="207"/>
      <c r="F41" s="207"/>
      <c r="G41" s="207"/>
      <c r="H41" s="207"/>
      <c r="I41" s="207"/>
      <c r="J41" s="207"/>
      <c r="K41" s="207"/>
      <c r="L41" s="207"/>
      <c r="M41" s="207"/>
      <c r="N41" s="207"/>
      <c r="O41" s="207"/>
      <c r="P41" s="207"/>
      <c r="Q41" s="207"/>
      <c r="R41" s="207"/>
      <c r="S41" s="207"/>
      <c r="T41" s="207"/>
      <c r="U41" s="207"/>
    </row>
    <row r="42" spans="1:21" ht="15.95" thickBot="1">
      <c r="A42" s="202" t="s">
        <v>312</v>
      </c>
      <c r="B42" s="210">
        <f t="shared" ref="B42:U42" si="10">B16-B35</f>
        <v>68589108.055555552</v>
      </c>
      <c r="C42" s="210">
        <f t="shared" ca="1" si="10"/>
        <v>63729130.518399999</v>
      </c>
      <c r="D42" s="210">
        <f t="shared" ca="1" si="10"/>
        <v>74062836.174784005</v>
      </c>
      <c r="E42" s="210">
        <f t="shared" ca="1" si="10"/>
        <v>76887613.937255844</v>
      </c>
      <c r="F42" s="210">
        <f t="shared" ca="1" si="10"/>
        <v>79814113.972304404</v>
      </c>
      <c r="G42" s="210">
        <f t="shared" ca="1" si="10"/>
        <v>82845919.746602237</v>
      </c>
      <c r="H42" s="210">
        <f t="shared" ca="1" si="10"/>
        <v>79061091.735784888</v>
      </c>
      <c r="I42" s="210">
        <f t="shared" ca="1" si="10"/>
        <v>89322508.037414327</v>
      </c>
      <c r="J42" s="210">
        <f t="shared" ca="1" si="10"/>
        <v>92694190.069986612</v>
      </c>
      <c r="K42" s="210">
        <f t="shared" ca="1" si="10"/>
        <v>96186865.954713151</v>
      </c>
      <c r="L42" s="210">
        <f t="shared" ca="1" si="10"/>
        <v>99804972.469609499</v>
      </c>
      <c r="M42" s="210">
        <f t="shared" ca="1" si="10"/>
        <v>99196186.495146781</v>
      </c>
      <c r="N42" s="210">
        <f t="shared" ca="1" si="10"/>
        <v>107458530.51608761</v>
      </c>
      <c r="O42" s="210">
        <f t="shared" ca="1" si="10"/>
        <v>111480183.03351691</v>
      </c>
      <c r="P42" s="210">
        <f t="shared" ca="1" si="10"/>
        <v>115645878.36383572</v>
      </c>
      <c r="Q42" s="210">
        <f ca="1">Q16-Q35</f>
        <v>119960758.03190365</v>
      </c>
      <c r="R42" s="210">
        <f t="shared" ca="1" si="10"/>
        <v>124429983.23608784</v>
      </c>
      <c r="S42" s="210">
        <f t="shared" ca="1" si="10"/>
        <v>129059112.22482419</v>
      </c>
      <c r="T42" s="210">
        <f t="shared" ca="1" si="10"/>
        <v>133853812.58159964</v>
      </c>
      <c r="U42" s="210">
        <f t="shared" ca="1" si="10"/>
        <v>138819858.41515341</v>
      </c>
    </row>
    <row r="43" spans="1:21" s="221" customFormat="1" ht="17.100000000000001" thickTop="1" thickBot="1">
      <c r="A43" s="571" t="s">
        <v>578</v>
      </c>
      <c r="B43" s="718">
        <f>-B36</f>
        <v>0</v>
      </c>
      <c r="C43" s="718">
        <f t="shared" ref="C43:U43" si="11">-C36</f>
        <v>0</v>
      </c>
      <c r="D43" s="718">
        <f t="shared" si="11"/>
        <v>0</v>
      </c>
      <c r="E43" s="718">
        <f t="shared" si="11"/>
        <v>0</v>
      </c>
      <c r="F43" s="718">
        <f t="shared" si="11"/>
        <v>0</v>
      </c>
      <c r="G43" s="718">
        <f t="shared" si="11"/>
        <v>0</v>
      </c>
      <c r="H43" s="718">
        <f t="shared" ca="1" si="11"/>
        <v>-7099569.0543240523</v>
      </c>
      <c r="I43" s="718">
        <f t="shared" si="11"/>
        <v>0</v>
      </c>
      <c r="J43" s="718">
        <f t="shared" si="11"/>
        <v>0</v>
      </c>
      <c r="K43" s="718">
        <f t="shared" si="11"/>
        <v>0</v>
      </c>
      <c r="L43" s="718">
        <f t="shared" si="11"/>
        <v>0</v>
      </c>
      <c r="M43" s="718">
        <f t="shared" si="11"/>
        <v>0</v>
      </c>
      <c r="N43" s="718">
        <f t="shared" si="11"/>
        <v>0</v>
      </c>
      <c r="O43" s="718">
        <f t="shared" si="11"/>
        <v>0</v>
      </c>
      <c r="P43" s="718">
        <f t="shared" si="11"/>
        <v>0</v>
      </c>
      <c r="Q43" s="718">
        <f t="shared" si="11"/>
        <v>0</v>
      </c>
      <c r="R43" s="718">
        <f t="shared" si="11"/>
        <v>0</v>
      </c>
      <c r="S43" s="718">
        <f t="shared" si="11"/>
        <v>0</v>
      </c>
      <c r="T43" s="718">
        <f t="shared" si="11"/>
        <v>0</v>
      </c>
      <c r="U43" s="718">
        <f t="shared" si="11"/>
        <v>0</v>
      </c>
    </row>
    <row r="44" spans="1:21" ht="15.95" thickTop="1">
      <c r="A44" s="110"/>
      <c r="B44" s="211"/>
      <c r="C44" s="211"/>
      <c r="D44" s="211"/>
      <c r="E44" s="211"/>
      <c r="F44" s="211"/>
      <c r="G44" s="211"/>
      <c r="H44" s="110"/>
      <c r="I44" s="110"/>
      <c r="J44" s="110"/>
      <c r="K44" s="110"/>
    </row>
    <row r="45" spans="1:21">
      <c r="A45" s="110" t="s">
        <v>310</v>
      </c>
      <c r="C45" s="208">
        <f ca="1">C42-B42</f>
        <v>-4859977.5371555537</v>
      </c>
      <c r="D45" s="208">
        <f t="shared" ref="D45:K45" ca="1" si="12">D42-C42</f>
        <v>10333705.656384006</v>
      </c>
      <c r="E45" s="208">
        <f t="shared" ca="1" si="12"/>
        <v>2824777.7624718398</v>
      </c>
      <c r="F45" s="208">
        <f t="shared" ca="1" si="12"/>
        <v>2926500.0350485593</v>
      </c>
      <c r="G45" s="208">
        <f t="shared" ca="1" si="12"/>
        <v>3031805.7742978334</v>
      </c>
      <c r="H45" s="208">
        <f t="shared" ca="1" si="12"/>
        <v>-3784828.010817349</v>
      </c>
      <c r="I45" s="208">
        <f t="shared" ca="1" si="12"/>
        <v>10261416.301629439</v>
      </c>
      <c r="J45" s="208">
        <f t="shared" ca="1" si="12"/>
        <v>3371682.0325722843</v>
      </c>
      <c r="K45" s="208">
        <f t="shared" ca="1" si="12"/>
        <v>3492675.8847265393</v>
      </c>
      <c r="L45" s="208">
        <f t="shared" ref="L45:U45" ca="1" si="13">L42-K42</f>
        <v>3618106.5148963481</v>
      </c>
      <c r="M45" s="208">
        <f t="shared" ca="1" si="13"/>
        <v>-608785.97446271777</v>
      </c>
      <c r="N45" s="208">
        <f t="shared" ca="1" si="13"/>
        <v>8262344.0209408253</v>
      </c>
      <c r="O45" s="208">
        <f t="shared" ca="1" si="13"/>
        <v>4021652.5174293071</v>
      </c>
      <c r="P45" s="208">
        <f t="shared" ca="1" si="13"/>
        <v>4165695.3303188086</v>
      </c>
      <c r="Q45" s="208">
        <f t="shared" ca="1" si="13"/>
        <v>4314879.6680679321</v>
      </c>
      <c r="R45" s="208">
        <f t="shared" ca="1" si="13"/>
        <v>4469225.2041841894</v>
      </c>
      <c r="S45" s="208">
        <f t="shared" ca="1" si="13"/>
        <v>4629128.9887363464</v>
      </c>
      <c r="T45" s="208">
        <f t="shared" ca="1" si="13"/>
        <v>4794700.3567754477</v>
      </c>
      <c r="U45" s="208">
        <f t="shared" ca="1" si="13"/>
        <v>4966045.8335537761</v>
      </c>
    </row>
    <row r="46" spans="1:21">
      <c r="A46" s="110"/>
      <c r="C46" s="209">
        <f ca="1">C45/B42</f>
        <v>-7.0856403807133442E-2</v>
      </c>
      <c r="D46" s="209">
        <f ca="1">D45/C42</f>
        <v>0.16215042590923845</v>
      </c>
      <c r="E46" s="209">
        <f t="shared" ref="E46:K46" ca="1" si="14">E45/D42</f>
        <v>3.8140286118742844E-2</v>
      </c>
      <c r="F46" s="209">
        <f t="shared" ca="1" si="14"/>
        <v>3.8062047775819008E-2</v>
      </c>
      <c r="G46" s="209">
        <f t="shared" ca="1" si="14"/>
        <v>3.7985835128732666E-2</v>
      </c>
      <c r="H46" s="209">
        <f t="shared" ca="1" si="14"/>
        <v>-4.5685146865335834E-2</v>
      </c>
      <c r="I46" s="209">
        <f t="shared" ca="1" si="14"/>
        <v>0.12979097652638261</v>
      </c>
      <c r="J46" s="209">
        <f t="shared" ca="1" si="14"/>
        <v>3.7747283486039097E-2</v>
      </c>
      <c r="K46" s="209">
        <f t="shared" ca="1" si="14"/>
        <v>3.7679555558870245E-2</v>
      </c>
      <c r="L46" s="209">
        <f t="shared" ref="L46:U46" ca="1" si="15">L45/K42</f>
        <v>3.761539040683403E-2</v>
      </c>
      <c r="M46" s="209">
        <f t="shared" ca="1" si="15"/>
        <v>-6.0997559480124343E-3</v>
      </c>
      <c r="N46" s="209">
        <f t="shared" ca="1" si="15"/>
        <v>8.3292960272672023E-2</v>
      </c>
      <c r="O46" s="209">
        <f t="shared" ca="1" si="15"/>
        <v>3.7425158320280823E-2</v>
      </c>
      <c r="P46" s="209">
        <f t="shared" ca="1" si="15"/>
        <v>3.7367137521351013E-2</v>
      </c>
      <c r="Q46" s="209">
        <f t="shared" ca="1" si="15"/>
        <v>3.7311140951282379E-2</v>
      </c>
      <c r="R46" s="209">
        <f t="shared" ca="1" si="15"/>
        <v>3.7255726601824204E-2</v>
      </c>
      <c r="S46" s="209">
        <f t="shared" ca="1" si="15"/>
        <v>3.7202681125121151E-2</v>
      </c>
      <c r="T46" s="209">
        <f t="shared" ca="1" si="15"/>
        <v>3.715119586769635E-2</v>
      </c>
      <c r="U46" s="209">
        <f t="shared" ca="1" si="15"/>
        <v>3.7100518377288561E-2</v>
      </c>
    </row>
    <row r="47" spans="1:21">
      <c r="A47" s="110" t="s">
        <v>311</v>
      </c>
      <c r="C47" s="208">
        <f ca="1">C42-$B$42</f>
        <v>-4859977.5371555537</v>
      </c>
      <c r="D47" s="208">
        <f t="shared" ref="D47:K47" ca="1" si="16">D42-$B$42</f>
        <v>5473728.1192284524</v>
      </c>
      <c r="E47" s="208">
        <f t="shared" ca="1" si="16"/>
        <v>8298505.8817002922</v>
      </c>
      <c r="F47" s="208">
        <f t="shared" ca="1" si="16"/>
        <v>11225005.916748852</v>
      </c>
      <c r="G47" s="208">
        <f t="shared" ca="1" si="16"/>
        <v>14256811.691046685</v>
      </c>
      <c r="H47" s="208">
        <f t="shared" ca="1" si="16"/>
        <v>10471983.680229336</v>
      </c>
      <c r="I47" s="208">
        <f t="shared" ca="1" si="16"/>
        <v>20733399.981858775</v>
      </c>
      <c r="J47" s="208">
        <f t="shared" ca="1" si="16"/>
        <v>24105082.014431059</v>
      </c>
      <c r="K47" s="208">
        <f t="shared" ca="1" si="16"/>
        <v>27597757.899157599</v>
      </c>
      <c r="L47" s="208">
        <f t="shared" ref="L47:U47" ca="1" si="17">L42-$B$42</f>
        <v>31215864.414053947</v>
      </c>
      <c r="M47" s="208">
        <f t="shared" ca="1" si="17"/>
        <v>30607078.439591229</v>
      </c>
      <c r="N47" s="208">
        <f t="shared" ca="1" si="17"/>
        <v>38869422.460532054</v>
      </c>
      <c r="O47" s="208">
        <f t="shared" ca="1" si="17"/>
        <v>42891074.977961361</v>
      </c>
      <c r="P47" s="208">
        <f t="shared" ca="1" si="17"/>
        <v>47056770.30828017</v>
      </c>
      <c r="Q47" s="208">
        <f t="shared" ca="1" si="17"/>
        <v>51371649.976348102</v>
      </c>
      <c r="R47" s="208">
        <f t="shared" ca="1" si="17"/>
        <v>55840875.180532292</v>
      </c>
      <c r="S47" s="208">
        <f t="shared" ca="1" si="17"/>
        <v>60470004.169268638</v>
      </c>
      <c r="T47" s="208">
        <f t="shared" ca="1" si="17"/>
        <v>65264704.526044086</v>
      </c>
      <c r="U47" s="208">
        <f t="shared" ca="1" si="17"/>
        <v>70230750.359597862</v>
      </c>
    </row>
    <row r="48" spans="1:21">
      <c r="A48" s="110"/>
      <c r="C48" s="208"/>
      <c r="D48" s="208"/>
      <c r="E48" s="208"/>
      <c r="F48" s="208"/>
      <c r="G48" s="208"/>
      <c r="H48" s="208"/>
      <c r="I48" s="208"/>
      <c r="J48" s="208"/>
      <c r="K48" s="208"/>
      <c r="L48" s="208"/>
      <c r="M48" s="208"/>
      <c r="N48" s="208"/>
      <c r="O48" s="208"/>
      <c r="P48" s="208"/>
      <c r="Q48" s="208"/>
      <c r="R48" s="208"/>
      <c r="S48" s="208"/>
      <c r="T48" s="208"/>
      <c r="U48" s="208"/>
    </row>
    <row r="49" spans="1:22">
      <c r="B49" s="213"/>
      <c r="C49" s="213"/>
      <c r="D49" s="213"/>
      <c r="E49" s="213"/>
      <c r="F49" s="213"/>
      <c r="G49" s="213"/>
      <c r="H49" s="213"/>
      <c r="I49" s="213"/>
      <c r="J49" s="213"/>
      <c r="K49" s="213"/>
      <c r="L49" s="213"/>
      <c r="M49" s="213"/>
      <c r="N49" s="213"/>
      <c r="O49" s="213"/>
      <c r="P49" s="213"/>
      <c r="Q49" s="213"/>
      <c r="R49" s="213"/>
      <c r="S49" s="213"/>
      <c r="T49" s="213"/>
      <c r="U49" s="213"/>
    </row>
    <row r="50" spans="1:22" s="304" customFormat="1">
      <c r="A50" s="303" t="str" cm="1">
        <f t="array" ref="A50:H50">Alternatives!$B$13:$I$13</f>
        <v>Baseline - Reactive Fines</v>
      </c>
      <c r="B50" s="304">
        <v>0</v>
      </c>
      <c r="C50" s="304">
        <v>0</v>
      </c>
      <c r="D50" s="304">
        <v>0</v>
      </c>
      <c r="E50" s="304">
        <v>0</v>
      </c>
      <c r="F50" s="304">
        <v>0</v>
      </c>
      <c r="G50" s="304">
        <v>0</v>
      </c>
      <c r="H50" s="304">
        <v>0</v>
      </c>
      <c r="L50" s="432"/>
      <c r="M50" s="432"/>
      <c r="N50" s="432"/>
      <c r="O50" s="432"/>
      <c r="P50" s="432"/>
      <c r="Q50" s="432"/>
      <c r="R50" s="432"/>
      <c r="S50" s="432"/>
      <c r="T50" s="432"/>
      <c r="U50" s="432"/>
    </row>
    <row r="51" spans="1:22">
      <c r="A51" s="471"/>
      <c r="B51" s="221"/>
      <c r="C51" s="221"/>
      <c r="D51" s="221"/>
      <c r="E51" s="221"/>
      <c r="F51" s="221"/>
      <c r="G51" s="221"/>
      <c r="H51" s="221"/>
      <c r="I51" s="221"/>
      <c r="J51" s="221"/>
      <c r="K51" s="221"/>
      <c r="L51" s="471"/>
      <c r="M51" s="471"/>
      <c r="N51" s="471"/>
      <c r="O51" s="471"/>
      <c r="P51" s="471"/>
      <c r="Q51" s="471"/>
      <c r="R51" s="471"/>
      <c r="S51" s="471"/>
      <c r="T51" s="471"/>
      <c r="U51" s="471"/>
      <c r="V51" s="221"/>
    </row>
    <row r="52" spans="1:22">
      <c r="A52" s="271" t="s">
        <v>579</v>
      </c>
      <c r="B52" s="221"/>
      <c r="C52" s="221"/>
      <c r="D52" s="221"/>
      <c r="E52" s="221"/>
      <c r="F52" s="221"/>
      <c r="G52" s="221"/>
      <c r="H52" s="221"/>
      <c r="I52" s="221"/>
      <c r="J52" s="221"/>
      <c r="K52" s="221"/>
      <c r="L52" s="471"/>
      <c r="M52" s="471"/>
      <c r="N52" s="471"/>
      <c r="O52" s="471"/>
      <c r="P52" s="471"/>
      <c r="Q52" s="471"/>
      <c r="R52" s="471"/>
      <c r="S52" s="471"/>
      <c r="T52" s="471"/>
      <c r="U52" s="471"/>
      <c r="V52" s="221"/>
    </row>
    <row r="53" spans="1:22">
      <c r="A53" s="471"/>
      <c r="B53" s="644">
        <v>1</v>
      </c>
      <c r="C53" s="644">
        <v>2</v>
      </c>
      <c r="D53" s="644">
        <v>3</v>
      </c>
      <c r="E53" s="644">
        <v>4</v>
      </c>
      <c r="F53" s="644">
        <v>5</v>
      </c>
      <c r="G53" s="644">
        <v>6</v>
      </c>
      <c r="H53" s="644">
        <v>7</v>
      </c>
      <c r="I53" s="644">
        <v>8</v>
      </c>
      <c r="J53" s="644">
        <v>9</v>
      </c>
      <c r="K53" s="644">
        <v>10</v>
      </c>
      <c r="L53" s="644">
        <v>11</v>
      </c>
      <c r="M53" s="644">
        <v>12</v>
      </c>
      <c r="N53" s="644">
        <v>13</v>
      </c>
      <c r="O53" s="644">
        <v>14</v>
      </c>
      <c r="P53" s="644">
        <v>15</v>
      </c>
      <c r="Q53" s="644">
        <v>16</v>
      </c>
      <c r="R53" s="644">
        <v>17</v>
      </c>
      <c r="S53" s="644">
        <v>18</v>
      </c>
      <c r="T53" s="644">
        <v>19</v>
      </c>
      <c r="U53" s="644">
        <v>20</v>
      </c>
      <c r="V53" s="221"/>
    </row>
    <row r="54" spans="1:22">
      <c r="A54" s="645" t="s">
        <v>303</v>
      </c>
      <c r="B54" s="272">
        <f t="shared" ref="B54:U54" si="18">B12</f>
        <v>122910661.11111112</v>
      </c>
      <c r="C54" s="272">
        <f t="shared" si="18"/>
        <v>127212500</v>
      </c>
      <c r="D54" s="272">
        <f t="shared" si="18"/>
        <v>131664900</v>
      </c>
      <c r="E54" s="272">
        <f t="shared" si="18"/>
        <v>136273200</v>
      </c>
      <c r="F54" s="272">
        <f t="shared" si="18"/>
        <v>141042800</v>
      </c>
      <c r="G54" s="272">
        <f t="shared" si="18"/>
        <v>145979300</v>
      </c>
      <c r="H54" s="272">
        <f t="shared" si="18"/>
        <v>151088600</v>
      </c>
      <c r="I54" s="272">
        <f t="shared" si="18"/>
        <v>156376700</v>
      </c>
      <c r="J54" s="272">
        <f t="shared" si="18"/>
        <v>161849900</v>
      </c>
      <c r="K54" s="272">
        <f t="shared" si="18"/>
        <v>167514600</v>
      </c>
      <c r="L54" s="272">
        <f t="shared" si="18"/>
        <v>173377600</v>
      </c>
      <c r="M54" s="272">
        <f t="shared" si="18"/>
        <v>179445800</v>
      </c>
      <c r="N54" s="272">
        <f t="shared" si="18"/>
        <v>185726400</v>
      </c>
      <c r="O54" s="272">
        <f t="shared" si="18"/>
        <v>192226800</v>
      </c>
      <c r="P54" s="272">
        <f t="shared" si="18"/>
        <v>198954700</v>
      </c>
      <c r="Q54" s="272">
        <f t="shared" si="18"/>
        <v>205918100</v>
      </c>
      <c r="R54" s="272">
        <f t="shared" si="18"/>
        <v>213125200</v>
      </c>
      <c r="S54" s="272">
        <f t="shared" si="18"/>
        <v>220584600</v>
      </c>
      <c r="T54" s="272">
        <f t="shared" si="18"/>
        <v>228305100</v>
      </c>
      <c r="U54" s="272">
        <f t="shared" si="18"/>
        <v>236295800</v>
      </c>
      <c r="V54" s="221"/>
    </row>
    <row r="55" spans="1:22">
      <c r="A55" s="645" t="s">
        <v>304</v>
      </c>
      <c r="B55" s="272">
        <f t="shared" ref="B55:U55" si="19">B13</f>
        <v>4916400</v>
      </c>
      <c r="C55" s="272">
        <f t="shared" si="19"/>
        <v>5088500</v>
      </c>
      <c r="D55" s="272">
        <f t="shared" si="19"/>
        <v>5266600</v>
      </c>
      <c r="E55" s="272">
        <f t="shared" si="19"/>
        <v>5450900</v>
      </c>
      <c r="F55" s="272">
        <f t="shared" si="19"/>
        <v>5641700</v>
      </c>
      <c r="G55" s="272">
        <f t="shared" si="19"/>
        <v>5839200</v>
      </c>
      <c r="H55" s="272">
        <f t="shared" si="19"/>
        <v>6043500</v>
      </c>
      <c r="I55" s="272">
        <f t="shared" si="19"/>
        <v>6255100</v>
      </c>
      <c r="J55" s="272">
        <f t="shared" si="19"/>
        <v>6474000</v>
      </c>
      <c r="K55" s="272">
        <f t="shared" si="19"/>
        <v>6700600</v>
      </c>
      <c r="L55" s="272">
        <f t="shared" si="19"/>
        <v>6935100</v>
      </c>
      <c r="M55" s="272">
        <f t="shared" si="19"/>
        <v>7177800</v>
      </c>
      <c r="N55" s="272">
        <f t="shared" si="19"/>
        <v>7429100</v>
      </c>
      <c r="O55" s="272">
        <f t="shared" si="19"/>
        <v>7689100</v>
      </c>
      <c r="P55" s="272">
        <f t="shared" si="19"/>
        <v>7958200</v>
      </c>
      <c r="Q55" s="272">
        <f t="shared" si="19"/>
        <v>8236700.0000000009</v>
      </c>
      <c r="R55" s="272">
        <f t="shared" si="19"/>
        <v>8525000</v>
      </c>
      <c r="S55" s="272">
        <f t="shared" si="19"/>
        <v>8823400</v>
      </c>
      <c r="T55" s="272">
        <f t="shared" si="19"/>
        <v>9132200</v>
      </c>
      <c r="U55" s="272">
        <f t="shared" si="19"/>
        <v>9451800</v>
      </c>
      <c r="V55" s="221"/>
    </row>
    <row r="56" spans="1:22">
      <c r="A56" s="471"/>
      <c r="B56" s="646">
        <f>B54-B55</f>
        <v>117994261.11111112</v>
      </c>
      <c r="C56" s="646">
        <f>C54-C55</f>
        <v>122124000</v>
      </c>
      <c r="D56" s="646">
        <f t="shared" ref="D56:K56" si="20">D54-D55</f>
        <v>126398300</v>
      </c>
      <c r="E56" s="646">
        <f t="shared" si="20"/>
        <v>130822300</v>
      </c>
      <c r="F56" s="646">
        <f t="shared" si="20"/>
        <v>135401100</v>
      </c>
      <c r="G56" s="646">
        <f t="shared" si="20"/>
        <v>140140100</v>
      </c>
      <c r="H56" s="646">
        <f t="shared" si="20"/>
        <v>145045100</v>
      </c>
      <c r="I56" s="646">
        <f t="shared" si="20"/>
        <v>150121600</v>
      </c>
      <c r="J56" s="646">
        <f t="shared" si="20"/>
        <v>155375900</v>
      </c>
      <c r="K56" s="646">
        <f t="shared" si="20"/>
        <v>160814000</v>
      </c>
      <c r="L56" s="646">
        <f t="shared" ref="L56:U56" si="21">L54-L55</f>
        <v>166442500</v>
      </c>
      <c r="M56" s="646">
        <f t="shared" si="21"/>
        <v>172268000</v>
      </c>
      <c r="N56" s="646">
        <f t="shared" si="21"/>
        <v>178297300</v>
      </c>
      <c r="O56" s="646">
        <f t="shared" si="21"/>
        <v>184537700</v>
      </c>
      <c r="P56" s="646">
        <f t="shared" si="21"/>
        <v>190996500</v>
      </c>
      <c r="Q56" s="646">
        <f t="shared" si="21"/>
        <v>197681400</v>
      </c>
      <c r="R56" s="646">
        <f t="shared" si="21"/>
        <v>204600200</v>
      </c>
      <c r="S56" s="646">
        <f t="shared" si="21"/>
        <v>211761200</v>
      </c>
      <c r="T56" s="646">
        <f t="shared" si="21"/>
        <v>219172900</v>
      </c>
      <c r="U56" s="646">
        <f t="shared" si="21"/>
        <v>226844000</v>
      </c>
      <c r="V56" s="221"/>
    </row>
    <row r="57" spans="1:22">
      <c r="A57" s="645" t="s">
        <v>305</v>
      </c>
      <c r="B57" s="272">
        <f t="shared" ref="B57:U57" si="22">B15</f>
        <v>0</v>
      </c>
      <c r="C57" s="272">
        <f t="shared" si="22"/>
        <v>0</v>
      </c>
      <c r="D57" s="272">
        <f t="shared" si="22"/>
        <v>0</v>
      </c>
      <c r="E57" s="272">
        <f t="shared" si="22"/>
        <v>0</v>
      </c>
      <c r="F57" s="272">
        <f t="shared" si="22"/>
        <v>0</v>
      </c>
      <c r="G57" s="272">
        <f t="shared" si="22"/>
        <v>0</v>
      </c>
      <c r="H57" s="272">
        <f t="shared" si="22"/>
        <v>0</v>
      </c>
      <c r="I57" s="272">
        <f t="shared" si="22"/>
        <v>0</v>
      </c>
      <c r="J57" s="272">
        <f t="shared" si="22"/>
        <v>0</v>
      </c>
      <c r="K57" s="272">
        <f t="shared" si="22"/>
        <v>0</v>
      </c>
      <c r="L57" s="272">
        <f t="shared" si="22"/>
        <v>0</v>
      </c>
      <c r="M57" s="272">
        <f t="shared" si="22"/>
        <v>0</v>
      </c>
      <c r="N57" s="272">
        <f t="shared" si="22"/>
        <v>0</v>
      </c>
      <c r="O57" s="272">
        <f t="shared" si="22"/>
        <v>0</v>
      </c>
      <c r="P57" s="272">
        <f t="shared" si="22"/>
        <v>0</v>
      </c>
      <c r="Q57" s="272">
        <f t="shared" si="22"/>
        <v>0</v>
      </c>
      <c r="R57" s="272">
        <f t="shared" si="22"/>
        <v>0</v>
      </c>
      <c r="S57" s="272">
        <f t="shared" si="22"/>
        <v>0</v>
      </c>
      <c r="T57" s="272">
        <f t="shared" si="22"/>
        <v>0</v>
      </c>
      <c r="U57" s="272">
        <f t="shared" si="22"/>
        <v>0</v>
      </c>
      <c r="V57" s="221"/>
    </row>
    <row r="58" spans="1:22">
      <c r="A58" s="645" t="s">
        <v>306</v>
      </c>
      <c r="B58" s="646">
        <f>B56+B57</f>
        <v>117994261.11111112</v>
      </c>
      <c r="C58" s="646">
        <f t="shared" ref="C58:K58" si="23">C56+C57</f>
        <v>122124000</v>
      </c>
      <c r="D58" s="646">
        <f t="shared" si="23"/>
        <v>126398300</v>
      </c>
      <c r="E58" s="646">
        <f t="shared" si="23"/>
        <v>130822300</v>
      </c>
      <c r="F58" s="646">
        <f t="shared" si="23"/>
        <v>135401100</v>
      </c>
      <c r="G58" s="646">
        <f t="shared" si="23"/>
        <v>140140100</v>
      </c>
      <c r="H58" s="646">
        <f t="shared" si="23"/>
        <v>145045100</v>
      </c>
      <c r="I58" s="646">
        <f t="shared" si="23"/>
        <v>150121600</v>
      </c>
      <c r="J58" s="646">
        <f t="shared" si="23"/>
        <v>155375900</v>
      </c>
      <c r="K58" s="646">
        <f t="shared" si="23"/>
        <v>160814000</v>
      </c>
      <c r="L58" s="646">
        <f t="shared" ref="L58:U58" si="24">L56+L57</f>
        <v>166442500</v>
      </c>
      <c r="M58" s="646">
        <f t="shared" si="24"/>
        <v>172268000</v>
      </c>
      <c r="N58" s="646">
        <f t="shared" si="24"/>
        <v>178297300</v>
      </c>
      <c r="O58" s="646">
        <f t="shared" si="24"/>
        <v>184537700</v>
      </c>
      <c r="P58" s="646">
        <f t="shared" si="24"/>
        <v>190996500</v>
      </c>
      <c r="Q58" s="646">
        <f t="shared" si="24"/>
        <v>197681400</v>
      </c>
      <c r="R58" s="646">
        <f t="shared" si="24"/>
        <v>204600200</v>
      </c>
      <c r="S58" s="646">
        <f t="shared" si="24"/>
        <v>211761200</v>
      </c>
      <c r="T58" s="646">
        <f t="shared" si="24"/>
        <v>219172900</v>
      </c>
      <c r="U58" s="646">
        <f t="shared" si="24"/>
        <v>226844000</v>
      </c>
      <c r="V58" s="221"/>
    </row>
    <row r="59" spans="1:22">
      <c r="A59" s="645"/>
      <c r="B59" s="647"/>
      <c r="C59" s="647"/>
      <c r="D59" s="647"/>
      <c r="E59" s="647"/>
      <c r="F59" s="647"/>
      <c r="G59" s="647"/>
      <c r="H59" s="647"/>
      <c r="I59" s="647"/>
      <c r="J59" s="647"/>
      <c r="K59" s="647"/>
      <c r="L59" s="647"/>
      <c r="M59" s="647"/>
      <c r="N59" s="647"/>
      <c r="O59" s="647"/>
      <c r="P59" s="647"/>
      <c r="Q59" s="647"/>
      <c r="R59" s="647"/>
      <c r="S59" s="647"/>
      <c r="T59" s="647"/>
      <c r="U59" s="647"/>
      <c r="V59" s="221"/>
    </row>
    <row r="60" spans="1:22">
      <c r="A60" s="271" t="s">
        <v>307</v>
      </c>
      <c r="B60" s="471"/>
      <c r="C60" s="471"/>
      <c r="D60" s="471"/>
      <c r="E60" s="471"/>
      <c r="F60" s="471"/>
      <c r="G60" s="471"/>
      <c r="H60" s="471"/>
      <c r="I60" s="471"/>
      <c r="J60" s="471"/>
      <c r="K60" s="471"/>
      <c r="L60" s="471"/>
      <c r="M60" s="471"/>
      <c r="N60" s="471"/>
      <c r="O60" s="471"/>
      <c r="P60" s="471"/>
      <c r="Q60" s="471"/>
      <c r="R60" s="471"/>
      <c r="S60" s="471"/>
      <c r="T60" s="471"/>
      <c r="U60" s="471"/>
      <c r="V60" s="221"/>
    </row>
    <row r="61" spans="1:22">
      <c r="A61" s="219" t="s">
        <v>571</v>
      </c>
      <c r="B61" s="648">
        <f t="shared" ref="B61:U61" si="25">B19</f>
        <v>5899713.055555556</v>
      </c>
      <c r="C61" s="648">
        <f t="shared" si="25"/>
        <v>6106200</v>
      </c>
      <c r="D61" s="648">
        <f t="shared" si="25"/>
        <v>6319915</v>
      </c>
      <c r="E61" s="648">
        <f t="shared" si="25"/>
        <v>6541115</v>
      </c>
      <c r="F61" s="648">
        <f t="shared" si="25"/>
        <v>6770055</v>
      </c>
      <c r="G61" s="648">
        <f t="shared" si="25"/>
        <v>7007005</v>
      </c>
      <c r="H61" s="648">
        <f t="shared" si="25"/>
        <v>7252255</v>
      </c>
      <c r="I61" s="648">
        <f t="shared" si="25"/>
        <v>7506080</v>
      </c>
      <c r="J61" s="648">
        <f t="shared" si="25"/>
        <v>7768795</v>
      </c>
      <c r="K61" s="648">
        <f t="shared" si="25"/>
        <v>8040700</v>
      </c>
      <c r="L61" s="272">
        <f t="shared" si="25"/>
        <v>8322125</v>
      </c>
      <c r="M61" s="272">
        <f t="shared" si="25"/>
        <v>8613400</v>
      </c>
      <c r="N61" s="272">
        <f t="shared" si="25"/>
        <v>8914865</v>
      </c>
      <c r="O61" s="272">
        <f t="shared" si="25"/>
        <v>9226885</v>
      </c>
      <c r="P61" s="272">
        <f t="shared" si="25"/>
        <v>9549825</v>
      </c>
      <c r="Q61" s="272">
        <f t="shared" si="25"/>
        <v>9884070</v>
      </c>
      <c r="R61" s="272">
        <f t="shared" si="25"/>
        <v>10230010</v>
      </c>
      <c r="S61" s="272">
        <f t="shared" si="25"/>
        <v>10588060</v>
      </c>
      <c r="T61" s="272">
        <f t="shared" si="25"/>
        <v>10958645</v>
      </c>
      <c r="U61" s="272">
        <f t="shared" si="25"/>
        <v>11342200</v>
      </c>
      <c r="V61" s="221"/>
    </row>
    <row r="62" spans="1:22">
      <c r="A62" s="219" t="s">
        <v>160</v>
      </c>
      <c r="B62" s="648">
        <f t="shared" ref="B62:U62" si="26">B20</f>
        <v>6920000</v>
      </c>
      <c r="C62" s="648">
        <f t="shared" si="26"/>
        <v>7162199.9999999991</v>
      </c>
      <c r="D62" s="648">
        <f t="shared" si="26"/>
        <v>7412876.9999999981</v>
      </c>
      <c r="E62" s="648">
        <f t="shared" si="26"/>
        <v>7672327.6949999975</v>
      </c>
      <c r="F62" s="648">
        <f t="shared" si="26"/>
        <v>7940859.164324997</v>
      </c>
      <c r="G62" s="648">
        <f t="shared" si="26"/>
        <v>8218789.2350763716</v>
      </c>
      <c r="H62" s="648">
        <f t="shared" si="26"/>
        <v>8506446.8583040442</v>
      </c>
      <c r="I62" s="648">
        <f t="shared" si="26"/>
        <v>8804172.4983446859</v>
      </c>
      <c r="J62" s="648">
        <f t="shared" si="26"/>
        <v>9112318.5357867498</v>
      </c>
      <c r="K62" s="648">
        <f t="shared" si="26"/>
        <v>9431249.6845392846</v>
      </c>
      <c r="L62" s="272">
        <f t="shared" si="26"/>
        <v>9761343.4234981593</v>
      </c>
      <c r="M62" s="272">
        <f t="shared" si="26"/>
        <v>10102990.443320595</v>
      </c>
      <c r="N62" s="272">
        <f t="shared" si="26"/>
        <v>10456595.108836815</v>
      </c>
      <c r="O62" s="272">
        <f t="shared" si="26"/>
        <v>10822575.937646102</v>
      </c>
      <c r="P62" s="272">
        <f t="shared" si="26"/>
        <v>11201366.095463715</v>
      </c>
      <c r="Q62" s="272">
        <f t="shared" si="26"/>
        <v>11593413.908804944</v>
      </c>
      <c r="R62" s="272">
        <f t="shared" si="26"/>
        <v>11999183.395613115</v>
      </c>
      <c r="S62" s="272">
        <f t="shared" si="26"/>
        <v>12419154.814459573</v>
      </c>
      <c r="T62" s="272">
        <f t="shared" si="26"/>
        <v>12853825.232965657</v>
      </c>
      <c r="U62" s="272">
        <f t="shared" si="26"/>
        <v>13303709.116119454</v>
      </c>
      <c r="V62" s="221"/>
    </row>
    <row r="63" spans="1:22">
      <c r="A63" s="94" t="s">
        <v>161</v>
      </c>
      <c r="B63" s="200">
        <f t="shared" ref="B63:U63" si="27">B21</f>
        <v>7040000.0000000009</v>
      </c>
      <c r="C63" s="200">
        <f t="shared" si="27"/>
        <v>7286400</v>
      </c>
      <c r="D63" s="200">
        <f t="shared" si="27"/>
        <v>7541423.9999999991</v>
      </c>
      <c r="E63" s="200">
        <f t="shared" si="27"/>
        <v>7805373.839999998</v>
      </c>
      <c r="F63" s="200">
        <f t="shared" si="27"/>
        <v>8078561.9243999971</v>
      </c>
      <c r="G63" s="200">
        <f t="shared" si="27"/>
        <v>8361311.591753996</v>
      </c>
      <c r="H63" s="200">
        <f t="shared" si="27"/>
        <v>8653957.4974653851</v>
      </c>
      <c r="I63" s="200">
        <f t="shared" si="27"/>
        <v>8956846.0098766722</v>
      </c>
      <c r="J63" s="200">
        <f t="shared" si="27"/>
        <v>9270335.6202223543</v>
      </c>
      <c r="K63" s="200">
        <f t="shared" si="27"/>
        <v>9594797.3669301365</v>
      </c>
      <c r="L63" s="196">
        <f t="shared" si="27"/>
        <v>9930615.2747726906</v>
      </c>
      <c r="M63" s="196">
        <f t="shared" si="27"/>
        <v>10278186.809389735</v>
      </c>
      <c r="N63" s="196">
        <f t="shared" si="27"/>
        <v>10637923.347718375</v>
      </c>
      <c r="O63" s="196">
        <f t="shared" si="27"/>
        <v>11010250.664888518</v>
      </c>
      <c r="P63" s="196">
        <f t="shared" si="27"/>
        <v>11395609.438159615</v>
      </c>
      <c r="Q63" s="196">
        <f t="shared" si="27"/>
        <v>11794455.7684952</v>
      </c>
      <c r="R63" s="196">
        <f t="shared" si="27"/>
        <v>12207261.720392531</v>
      </c>
      <c r="S63" s="196">
        <f t="shared" si="27"/>
        <v>12634515.880606268</v>
      </c>
      <c r="T63" s="196">
        <f t="shared" si="27"/>
        <v>13076723.936427485</v>
      </c>
      <c r="U63" s="196">
        <f t="shared" si="27"/>
        <v>13534409.274202446</v>
      </c>
    </row>
    <row r="64" spans="1:22" s="110" customFormat="1">
      <c r="A64" s="487" t="s">
        <v>162</v>
      </c>
      <c r="B64" s="220">
        <f t="shared" ref="B64:U64" si="28">B22-C444</f>
        <v>10645440</v>
      </c>
      <c r="C64" s="220">
        <f t="shared" ca="1" si="28"/>
        <v>10671269.4816</v>
      </c>
      <c r="D64" s="220">
        <f t="shared" ca="1" si="28"/>
        <v>10815095.325215999</v>
      </c>
      <c r="E64" s="220">
        <f t="shared" ca="1" si="28"/>
        <v>10961101.690244161</v>
      </c>
      <c r="F64" s="220">
        <f t="shared" ca="1" si="28"/>
        <v>11109325.227158122</v>
      </c>
      <c r="G64" s="220">
        <f t="shared" ca="1" si="28"/>
        <v>11259803.249841455</v>
      </c>
      <c r="H64" s="220">
        <f t="shared" ca="1" si="28"/>
        <v>11331623.240534363</v>
      </c>
      <c r="I64" s="220">
        <f t="shared" ca="1" si="28"/>
        <v>11485915.388076095</v>
      </c>
      <c r="J64" s="220">
        <f t="shared" ca="1" si="28"/>
        <v>11642569.97539597</v>
      </c>
      <c r="K64" s="220">
        <f t="shared" ca="1" si="28"/>
        <v>11801627.017257825</v>
      </c>
      <c r="L64" s="220">
        <f t="shared" ca="1" si="28"/>
        <v>11963127.256380454</v>
      </c>
      <c r="M64" s="220">
        <f t="shared" ca="1" si="28"/>
        <v>12103908.596252836</v>
      </c>
      <c r="N64" s="220">
        <f t="shared" ca="1" si="28"/>
        <v>12270188.403510999</v>
      </c>
      <c r="O64" s="220">
        <f t="shared" ca="1" si="28"/>
        <v>12439035.823267657</v>
      </c>
      <c r="P64" s="220">
        <f t="shared" ca="1" si="28"/>
        <v>12610494.627936311</v>
      </c>
      <c r="Q64" s="220">
        <f t="shared" ca="1" si="28"/>
        <v>12784609.389580375</v>
      </c>
      <c r="R64" s="220">
        <f t="shared" ca="1" si="28"/>
        <v>12961425.495148171</v>
      </c>
      <c r="S64" s="220">
        <f t="shared" ca="1" si="28"/>
        <v>13140989.162005085</v>
      </c>
      <c r="T64" s="220">
        <f t="shared" ca="1" si="28"/>
        <v>13323347.453768674</v>
      </c>
      <c r="U64" s="220">
        <f t="shared" ca="1" si="28"/>
        <v>13508548.296452774</v>
      </c>
    </row>
    <row r="65" spans="1:21" s="572" customFormat="1">
      <c r="A65" s="571" t="s">
        <v>580</v>
      </c>
      <c r="B65" s="220">
        <v>0</v>
      </c>
      <c r="C65" s="220">
        <v>0</v>
      </c>
      <c r="D65" s="220">
        <v>0</v>
      </c>
      <c r="E65" s="220">
        <v>0</v>
      </c>
      <c r="F65" s="220">
        <v>0</v>
      </c>
      <c r="G65" s="220">
        <v>0</v>
      </c>
      <c r="H65" s="220">
        <v>0</v>
      </c>
      <c r="I65" s="220">
        <v>0</v>
      </c>
      <c r="J65" s="220">
        <v>0</v>
      </c>
      <c r="K65" s="220">
        <v>0</v>
      </c>
      <c r="L65" s="220">
        <v>0</v>
      </c>
      <c r="M65" s="220">
        <v>0</v>
      </c>
      <c r="N65" s="220">
        <v>0</v>
      </c>
      <c r="O65" s="220">
        <v>0</v>
      </c>
      <c r="P65" s="220">
        <v>0</v>
      </c>
      <c r="Q65" s="220">
        <v>0</v>
      </c>
      <c r="R65" s="220">
        <v>0</v>
      </c>
      <c r="S65" s="220">
        <v>0</v>
      </c>
      <c r="T65" s="220">
        <v>0</v>
      </c>
      <c r="U65" s="220">
        <v>0</v>
      </c>
    </row>
    <row r="66" spans="1:21" s="471" customFormat="1">
      <c r="A66" s="571" t="s">
        <v>581</v>
      </c>
      <c r="B66" s="272">
        <f>B407</f>
        <v>0</v>
      </c>
      <c r="C66" s="272">
        <f t="shared" ref="C66:U66" si="29">C407</f>
        <v>0</v>
      </c>
      <c r="D66" s="272">
        <f t="shared" si="29"/>
        <v>0</v>
      </c>
      <c r="E66" s="272">
        <f t="shared" si="29"/>
        <v>0</v>
      </c>
      <c r="F66" s="272">
        <f t="shared" ca="1" si="29"/>
        <v>309247.27314080042</v>
      </c>
      <c r="G66" s="272">
        <f t="shared" ca="1" si="29"/>
        <v>46051.977140799427</v>
      </c>
      <c r="H66" s="272">
        <f t="shared" ca="1" si="29"/>
        <v>0</v>
      </c>
      <c r="I66" s="272">
        <f t="shared" ca="1" si="29"/>
        <v>0</v>
      </c>
      <c r="J66" s="272">
        <f t="shared" ca="1" si="29"/>
        <v>0</v>
      </c>
      <c r="K66" s="272">
        <f t="shared" ca="1" si="29"/>
        <v>746435.67314080021</v>
      </c>
      <c r="L66" s="272">
        <f t="shared" ca="1" si="29"/>
        <v>616294.3371407995</v>
      </c>
      <c r="M66" s="272">
        <f t="shared" ca="1" si="29"/>
        <v>486153.00114079984</v>
      </c>
      <c r="N66" s="272">
        <f t="shared" ca="1" si="29"/>
        <v>353231.43314079993</v>
      </c>
      <c r="O66" s="272">
        <f t="shared" ca="1" si="29"/>
        <v>223487.27314079995</v>
      </c>
      <c r="P66" s="272">
        <f ca="1">P407</f>
        <v>1930883.1131408</v>
      </c>
      <c r="Q66" s="272">
        <f t="shared" ca="1" si="29"/>
        <v>1801138.9531407999</v>
      </c>
      <c r="R66" s="272">
        <f t="shared" ca="1" si="29"/>
        <v>1671394.7931407997</v>
      </c>
      <c r="S66" s="272">
        <f t="shared" ca="1" si="29"/>
        <v>1541650.6331407998</v>
      </c>
      <c r="T66" s="272">
        <f t="shared" ca="1" si="29"/>
        <v>1411906.4731407999</v>
      </c>
      <c r="U66" s="272">
        <f t="shared" ca="1" si="29"/>
        <v>1282162.3131408</v>
      </c>
    </row>
    <row r="67" spans="1:21">
      <c r="A67" s="219" t="s">
        <v>163</v>
      </c>
      <c r="B67" s="200">
        <f t="shared" ref="B67:U67" si="30">B23</f>
        <v>7040000.0000000009</v>
      </c>
      <c r="C67" s="200">
        <f t="shared" si="30"/>
        <v>7286400</v>
      </c>
      <c r="D67" s="200">
        <f t="shared" si="30"/>
        <v>7541423.9999999991</v>
      </c>
      <c r="E67" s="200">
        <f t="shared" si="30"/>
        <v>7805373.839999998</v>
      </c>
      <c r="F67" s="200">
        <f t="shared" si="30"/>
        <v>8078561.9243999971</v>
      </c>
      <c r="G67" s="200">
        <f t="shared" si="30"/>
        <v>8361311.591753996</v>
      </c>
      <c r="H67" s="200">
        <f t="shared" si="30"/>
        <v>8653957.4974653851</v>
      </c>
      <c r="I67" s="200">
        <f t="shared" si="30"/>
        <v>8956846.0098766722</v>
      </c>
      <c r="J67" s="200">
        <f t="shared" si="30"/>
        <v>9270335.6202223543</v>
      </c>
      <c r="K67" s="200">
        <f t="shared" si="30"/>
        <v>9594797.3669301365</v>
      </c>
      <c r="L67" s="196">
        <f t="shared" si="30"/>
        <v>9930615.2747726906</v>
      </c>
      <c r="M67" s="196">
        <f t="shared" si="30"/>
        <v>10278186.809389735</v>
      </c>
      <c r="N67" s="196">
        <f t="shared" si="30"/>
        <v>10637923.347718375</v>
      </c>
      <c r="O67" s="196">
        <f t="shared" si="30"/>
        <v>11010250.664888518</v>
      </c>
      <c r="P67" s="196">
        <f t="shared" si="30"/>
        <v>11395609.438159615</v>
      </c>
      <c r="Q67" s="196">
        <f t="shared" si="30"/>
        <v>11794455.7684952</v>
      </c>
      <c r="R67" s="196">
        <f t="shared" si="30"/>
        <v>12207261.720392531</v>
      </c>
      <c r="S67" s="196">
        <f t="shared" si="30"/>
        <v>12634515.880606268</v>
      </c>
      <c r="T67" s="196">
        <f t="shared" si="30"/>
        <v>13076723.936427485</v>
      </c>
      <c r="U67" s="196">
        <f t="shared" si="30"/>
        <v>13534409.274202446</v>
      </c>
    </row>
    <row r="68" spans="1:21">
      <c r="A68" s="94" t="s">
        <v>164</v>
      </c>
      <c r="B68" s="200">
        <f t="shared" ref="B68:U68" si="31">B24</f>
        <v>6680000</v>
      </c>
      <c r="C68" s="200">
        <f t="shared" si="31"/>
        <v>6913799.9999999991</v>
      </c>
      <c r="D68" s="200">
        <f t="shared" si="31"/>
        <v>7155782.9999999981</v>
      </c>
      <c r="E68" s="200">
        <f t="shared" si="31"/>
        <v>7406235.4049999975</v>
      </c>
      <c r="F68" s="200">
        <f t="shared" si="31"/>
        <v>7665453.6441749968</v>
      </c>
      <c r="G68" s="200">
        <f t="shared" si="31"/>
        <v>7933744.5217211209</v>
      </c>
      <c r="H68" s="200">
        <f t="shared" si="31"/>
        <v>8211425.5799813597</v>
      </c>
      <c r="I68" s="200">
        <f t="shared" si="31"/>
        <v>8498825.4752807058</v>
      </c>
      <c r="J68" s="200">
        <f t="shared" si="31"/>
        <v>8796284.3669155296</v>
      </c>
      <c r="K68" s="200">
        <f t="shared" si="31"/>
        <v>9104154.3197575733</v>
      </c>
      <c r="L68" s="196">
        <f t="shared" si="31"/>
        <v>9422799.7209490873</v>
      </c>
      <c r="M68" s="196">
        <f t="shared" si="31"/>
        <v>9752597.7111823037</v>
      </c>
      <c r="N68" s="196">
        <f t="shared" si="31"/>
        <v>10093938.631073684</v>
      </c>
      <c r="O68" s="196">
        <f t="shared" si="31"/>
        <v>10447226.483161261</v>
      </c>
      <c r="P68" s="196">
        <f t="shared" si="31"/>
        <v>10812879.410071904</v>
      </c>
      <c r="Q68" s="196">
        <f t="shared" si="31"/>
        <v>11191330.18942442</v>
      </c>
      <c r="R68" s="196">
        <f t="shared" si="31"/>
        <v>11583026.746054273</v>
      </c>
      <c r="S68" s="196">
        <f t="shared" si="31"/>
        <v>11988432.682166172</v>
      </c>
      <c r="T68" s="196">
        <f t="shared" si="31"/>
        <v>12408027.826041987</v>
      </c>
      <c r="U68" s="196">
        <f t="shared" si="31"/>
        <v>12842308.799953455</v>
      </c>
    </row>
    <row r="69" spans="1:21">
      <c r="A69" s="94" t="s">
        <v>165</v>
      </c>
      <c r="B69" s="200">
        <f t="shared" ref="B69:U69" si="32">B25</f>
        <v>2279999.9999999995</v>
      </c>
      <c r="C69" s="200">
        <f t="shared" si="32"/>
        <v>2359799.9999999995</v>
      </c>
      <c r="D69" s="200">
        <f t="shared" si="32"/>
        <v>2442392.9999999995</v>
      </c>
      <c r="E69" s="200">
        <f t="shared" si="32"/>
        <v>2527876.7549999994</v>
      </c>
      <c r="F69" s="200">
        <f t="shared" si="32"/>
        <v>2616352.4414249994</v>
      </c>
      <c r="G69" s="200">
        <f t="shared" si="32"/>
        <v>2707924.7768748743</v>
      </c>
      <c r="H69" s="200">
        <f t="shared" si="32"/>
        <v>2802702.1440654946</v>
      </c>
      <c r="I69" s="200">
        <f t="shared" si="32"/>
        <v>2900796.7191077867</v>
      </c>
      <c r="J69" s="200">
        <f t="shared" si="32"/>
        <v>3002324.6042765588</v>
      </c>
      <c r="K69" s="200">
        <f t="shared" si="32"/>
        <v>3107405.9654262383</v>
      </c>
      <c r="L69" s="196">
        <f t="shared" si="32"/>
        <v>3216165.1742161564</v>
      </c>
      <c r="M69" s="196">
        <f t="shared" si="32"/>
        <v>3328730.9553137217</v>
      </c>
      <c r="N69" s="196">
        <f t="shared" si="32"/>
        <v>3445236.5387497018</v>
      </c>
      <c r="O69" s="196">
        <f t="shared" si="32"/>
        <v>3565819.8176059411</v>
      </c>
      <c r="P69" s="196">
        <f t="shared" si="32"/>
        <v>3690623.5112221488</v>
      </c>
      <c r="Q69" s="196">
        <f t="shared" si="32"/>
        <v>3819795.3341149236</v>
      </c>
      <c r="R69" s="196">
        <f t="shared" si="32"/>
        <v>3953488.1708089458</v>
      </c>
      <c r="S69" s="196">
        <f t="shared" si="32"/>
        <v>4091860.2567872587</v>
      </c>
      <c r="T69" s="196">
        <f t="shared" si="32"/>
        <v>4235075.3657748122</v>
      </c>
      <c r="U69" s="196">
        <f t="shared" si="32"/>
        <v>4383303.0035769306</v>
      </c>
    </row>
    <row r="70" spans="1:21">
      <c r="A70" s="94" t="s">
        <v>166</v>
      </c>
      <c r="B70" s="200">
        <f t="shared" ref="B70:U70" si="33">B26</f>
        <v>2900000</v>
      </c>
      <c r="C70" s="200">
        <f t="shared" si="33"/>
        <v>3001500</v>
      </c>
      <c r="D70" s="200">
        <f t="shared" si="33"/>
        <v>3106552.4999999995</v>
      </c>
      <c r="E70" s="200">
        <f t="shared" si="33"/>
        <v>3215281.8374999994</v>
      </c>
      <c r="F70" s="200">
        <f t="shared" si="33"/>
        <v>3327816.7018124992</v>
      </c>
      <c r="G70" s="200">
        <f t="shared" si="33"/>
        <v>3444290.2863759366</v>
      </c>
      <c r="H70" s="200">
        <f t="shared" si="33"/>
        <v>3564840.4463990941</v>
      </c>
      <c r="I70" s="200">
        <f t="shared" si="33"/>
        <v>3689609.8620230621</v>
      </c>
      <c r="J70" s="200">
        <f t="shared" si="33"/>
        <v>3818746.2071938692</v>
      </c>
      <c r="K70" s="200">
        <f t="shared" si="33"/>
        <v>3952402.3244456542</v>
      </c>
      <c r="L70" s="196">
        <f t="shared" si="33"/>
        <v>4090736.4058012515</v>
      </c>
      <c r="M70" s="196">
        <f t="shared" si="33"/>
        <v>4233912.180004295</v>
      </c>
      <c r="N70" s="196">
        <f t="shared" si="33"/>
        <v>4382099.1063044453</v>
      </c>
      <c r="O70" s="196">
        <f t="shared" si="33"/>
        <v>4535472.5750251003</v>
      </c>
      <c r="P70" s="196">
        <f t="shared" si="33"/>
        <v>4694214.1151509788</v>
      </c>
      <c r="Q70" s="196">
        <f t="shared" si="33"/>
        <v>4858511.6091812626</v>
      </c>
      <c r="R70" s="196">
        <f t="shared" si="33"/>
        <v>5028559.5155026065</v>
      </c>
      <c r="S70" s="196">
        <f t="shared" si="33"/>
        <v>5204559.0985451974</v>
      </c>
      <c r="T70" s="196">
        <f t="shared" si="33"/>
        <v>5386718.6669942793</v>
      </c>
      <c r="U70" s="196">
        <f t="shared" si="33"/>
        <v>5575253.820339079</v>
      </c>
    </row>
    <row r="71" spans="1:21">
      <c r="A71" s="94" t="s">
        <v>572</v>
      </c>
      <c r="B71" s="200">
        <f>+'Building Info &amp; Assumptions'!B$409</f>
        <v>0</v>
      </c>
      <c r="C71" s="200">
        <f>+'Building Info &amp; Assumptions'!C$409</f>
        <v>0</v>
      </c>
      <c r="D71" s="200">
        <f>+'Building Info &amp; Assumptions'!D$409</f>
        <v>0</v>
      </c>
      <c r="E71" s="200">
        <f>+'Building Info &amp; Assumptions'!E$409</f>
        <v>0</v>
      </c>
      <c r="F71" s="200">
        <f>+'Building Info &amp; Assumptions'!F$409</f>
        <v>0</v>
      </c>
      <c r="G71" s="200">
        <f>+'Building Info &amp; Assumptions'!G$409</f>
        <v>0</v>
      </c>
      <c r="H71" s="200">
        <f>+'Building Info &amp; Assumptions'!H$409</f>
        <v>0</v>
      </c>
      <c r="I71" s="200">
        <f>+'Building Info &amp; Assumptions'!I$409</f>
        <v>0</v>
      </c>
      <c r="J71" s="200">
        <f>+'Building Info &amp; Assumptions'!J$409</f>
        <v>0</v>
      </c>
      <c r="K71" s="200">
        <f>+'Building Info &amp; Assumptions'!K$409</f>
        <v>0</v>
      </c>
      <c r="L71" s="200">
        <f>+'Building Info &amp; Assumptions'!L$409</f>
        <v>0</v>
      </c>
      <c r="M71" s="200">
        <f>+'Building Info &amp; Assumptions'!M$409</f>
        <v>0</v>
      </c>
      <c r="N71" s="200">
        <f>+'Building Info &amp; Assumptions'!N$409</f>
        <v>0</v>
      </c>
      <c r="O71" s="200">
        <f>+'Building Info &amp; Assumptions'!O$409</f>
        <v>0</v>
      </c>
      <c r="P71" s="200">
        <f>+'Building Info &amp; Assumptions'!P$409</f>
        <v>0</v>
      </c>
      <c r="Q71" s="200">
        <f>+'Building Info &amp; Assumptions'!Q$409</f>
        <v>0</v>
      </c>
      <c r="R71" s="200">
        <f>+'Building Info &amp; Assumptions'!R$409</f>
        <v>0</v>
      </c>
      <c r="S71" s="200">
        <f>+'Building Info &amp; Assumptions'!S$409</f>
        <v>0</v>
      </c>
      <c r="T71" s="200">
        <f>+'Building Info &amp; Assumptions'!T$409</f>
        <v>0</v>
      </c>
      <c r="U71" s="200">
        <f>+'Building Info &amp; Assumptions'!U$409</f>
        <v>0</v>
      </c>
    </row>
    <row r="72" spans="1:21" s="110" customFormat="1">
      <c r="A72" s="488" t="s">
        <v>6</v>
      </c>
      <c r="B72" s="196">
        <f t="shared" ref="B72:U72" si="34">B28+B65+B66</f>
        <v>0</v>
      </c>
      <c r="C72" s="196">
        <f t="shared" ca="1" si="34"/>
        <v>0</v>
      </c>
      <c r="D72" s="196">
        <f t="shared" si="34"/>
        <v>0</v>
      </c>
      <c r="E72" s="196">
        <f t="shared" si="34"/>
        <v>0</v>
      </c>
      <c r="F72" s="196">
        <f t="shared" ca="1" si="34"/>
        <v>309247.27314080042</v>
      </c>
      <c r="G72" s="196">
        <f t="shared" ca="1" si="34"/>
        <v>46051.977140799427</v>
      </c>
      <c r="H72" s="196">
        <f t="shared" ca="1" si="34"/>
        <v>0</v>
      </c>
      <c r="I72" s="196">
        <f t="shared" ca="1" si="34"/>
        <v>0</v>
      </c>
      <c r="J72" s="196">
        <f t="shared" ca="1" si="34"/>
        <v>0</v>
      </c>
      <c r="K72" s="196">
        <f t="shared" ca="1" si="34"/>
        <v>746435.67314080021</v>
      </c>
      <c r="L72" s="196">
        <f t="shared" ca="1" si="34"/>
        <v>616294.3371407995</v>
      </c>
      <c r="M72" s="196">
        <f t="shared" ca="1" si="34"/>
        <v>486153.00114079984</v>
      </c>
      <c r="N72" s="196">
        <f t="shared" ca="1" si="34"/>
        <v>353231.43314079993</v>
      </c>
      <c r="O72" s="196">
        <f t="shared" ca="1" si="34"/>
        <v>223487.27314079995</v>
      </c>
      <c r="P72" s="196">
        <f t="shared" ca="1" si="34"/>
        <v>1930883.1131408</v>
      </c>
      <c r="Q72" s="196">
        <f t="shared" ca="1" si="34"/>
        <v>1801138.9531407999</v>
      </c>
      <c r="R72" s="196">
        <f t="shared" ca="1" si="34"/>
        <v>1671394.7931407997</v>
      </c>
      <c r="S72" s="196">
        <f t="shared" ca="1" si="34"/>
        <v>1541650.6331407998</v>
      </c>
      <c r="T72" s="196">
        <f t="shared" ca="1" si="34"/>
        <v>1411906.4731407999</v>
      </c>
      <c r="U72" s="196">
        <f t="shared" ca="1" si="34"/>
        <v>1282162.3131408</v>
      </c>
    </row>
    <row r="73" spans="1:21">
      <c r="A73" s="271" t="s">
        <v>5</v>
      </c>
      <c r="B73" s="272">
        <f t="shared" ref="B73:U73" si="35">B29</f>
        <v>0</v>
      </c>
      <c r="C73" s="272">
        <f t="shared" ca="1" si="35"/>
        <v>7607300</v>
      </c>
      <c r="D73" s="272">
        <f t="shared" si="35"/>
        <v>0</v>
      </c>
      <c r="E73" s="272">
        <f t="shared" si="35"/>
        <v>0</v>
      </c>
      <c r="F73" s="272">
        <f t="shared" si="35"/>
        <v>0</v>
      </c>
      <c r="G73" s="272">
        <f t="shared" si="35"/>
        <v>0</v>
      </c>
      <c r="H73" s="272">
        <f t="shared" ca="1" si="35"/>
        <v>7006800</v>
      </c>
      <c r="I73" s="272">
        <f t="shared" si="35"/>
        <v>0</v>
      </c>
      <c r="J73" s="272">
        <f t="shared" si="35"/>
        <v>0</v>
      </c>
      <c r="K73" s="272">
        <f t="shared" si="35"/>
        <v>0</v>
      </c>
      <c r="L73" s="272">
        <f t="shared" si="35"/>
        <v>0</v>
      </c>
      <c r="M73" s="272">
        <f t="shared" ca="1" si="35"/>
        <v>4379900</v>
      </c>
      <c r="N73" s="272">
        <f t="shared" si="35"/>
        <v>0</v>
      </c>
      <c r="O73" s="272">
        <f t="shared" si="35"/>
        <v>0</v>
      </c>
      <c r="P73" s="272">
        <f t="shared" si="35"/>
        <v>0</v>
      </c>
      <c r="Q73" s="272">
        <f t="shared" si="35"/>
        <v>0</v>
      </c>
      <c r="R73" s="272">
        <f t="shared" ca="1" si="35"/>
        <v>0</v>
      </c>
      <c r="S73" s="272">
        <f t="shared" si="35"/>
        <v>0</v>
      </c>
      <c r="T73" s="272">
        <f t="shared" si="35"/>
        <v>0</v>
      </c>
      <c r="U73" s="272">
        <f t="shared" si="35"/>
        <v>0</v>
      </c>
    </row>
    <row r="74" spans="1:21">
      <c r="A74" s="271"/>
      <c r="B74" s="272"/>
      <c r="C74" s="272"/>
      <c r="D74" s="272"/>
      <c r="E74" s="272"/>
      <c r="F74" s="272"/>
      <c r="G74" s="272"/>
      <c r="H74" s="272"/>
      <c r="I74" s="272"/>
      <c r="J74" s="272"/>
      <c r="K74" s="272"/>
      <c r="L74" s="272"/>
      <c r="M74" s="272"/>
      <c r="N74" s="272"/>
      <c r="O74" s="272"/>
      <c r="P74" s="272"/>
      <c r="Q74" s="272"/>
      <c r="R74" s="272"/>
      <c r="S74" s="272"/>
      <c r="T74" s="272"/>
      <c r="U74" s="272"/>
    </row>
    <row r="75" spans="1:21" s="110" customFormat="1">
      <c r="A75" s="571" t="s">
        <v>573</v>
      </c>
      <c r="B75" s="220">
        <f>SUMIFS(Alternatives!$D$15:$D$17,Alternatives!$I$15:$I$17,B53,Alternatives!$H$15:$H$17,"Yes")+SUMIFS(Alternatives!$D$20:$D$27,Alternatives!$I$20:$I$27,B53,Alternatives!$H$20:$H$27,"Yes")</f>
        <v>0</v>
      </c>
      <c r="C75" s="220">
        <f>(SUMIFS(Alternatives!$D$15:$D$17,Alternatives!$I$15:$I$17,C$53,Alternatives!$H$15:$H$17,"Yes")+SUMIFS(Alternatives!$D$20:$D$27,Alternatives!$I$20:$I$27,C53,Alternatives!$H$20:$H$27,"Yes"))*(1+'Building Info &amp; Assumptions'!$E$77)^B$53</f>
        <v>0</v>
      </c>
      <c r="D75" s="220">
        <f>(SUMIFS(Alternatives!$D$15:$D$17,Alternatives!$I$15:$I$17,D$53,Alternatives!$H$15:$H$17,"Yes")+SUMIFS(Alternatives!$D$20:$D$27,Alternatives!$I$20:$I$27,D53,Alternatives!$H$20:$H$27,"Yes"))*(1+'Building Info &amp; Assumptions'!$E$77)^C$53</f>
        <v>0</v>
      </c>
      <c r="E75" s="220">
        <f>(SUMIFS(Alternatives!$D$15:$D$17,Alternatives!$I$15:$I$17,E$53,Alternatives!$H$15:$H$17,"Yes")+SUMIFS(Alternatives!$D$20:$D$27,Alternatives!$I$20:$I$27,E53,Alternatives!$H$20:$H$27,"Yes"))*(1+'Building Info &amp; Assumptions'!$E$77)^D$53</f>
        <v>0</v>
      </c>
      <c r="F75" s="220">
        <f>(SUMIFS(Alternatives!$D$15:$D$17,Alternatives!$I$15:$I$17,F$53,Alternatives!$H$15:$H$17,"Yes")+SUMIFS(Alternatives!$D$20:$D$27,Alternatives!$I$20:$I$27,F53,Alternatives!$H$20:$H$27,"Yes"))*(1+'Building Info &amp; Assumptions'!$E$77)^E$53</f>
        <v>0</v>
      </c>
      <c r="G75" s="220">
        <f>(SUMIFS(Alternatives!$D$15:$D$17,Alternatives!$I$15:$I$17,G$53,Alternatives!$H$15:$H$17,"Yes")+SUMIFS(Alternatives!$D$20:$D$27,Alternatives!$I$20:$I$27,G53,Alternatives!$H$20:$H$27,"Yes"))*(1+'Building Info &amp; Assumptions'!$E$77)^F$53</f>
        <v>0</v>
      </c>
      <c r="H75" s="220">
        <f ca="1">(SUMIFS(Alternatives!$D$15:$D$17,Alternatives!$I$15:$I$17,H$53,Alternatives!$H$15:$H$17,"Yes")+SUMIFS(Alternatives!$D$20:$D$27,Alternatives!$I$20:$I$27,H53,Alternatives!$H$20:$H$27,"Yes"))*(1+'Building Info &amp; Assumptions'!$E$77)^G$53</f>
        <v>92813.69416031627</v>
      </c>
      <c r="I75" s="220">
        <f>(SUMIFS(Alternatives!$D$15:$D$17,Alternatives!$I$15:$I$17,I$53,Alternatives!$H$15:$H$17,"Yes")+SUMIFS(Alternatives!$D$20:$D$27,Alternatives!$I$20:$I$27,I53,Alternatives!$H$20:$H$27,"Yes"))*(1+'Building Info &amp; Assumptions'!$E$77)^H$53</f>
        <v>0</v>
      </c>
      <c r="J75" s="220">
        <f>(SUMIFS(Alternatives!$D$15:$D$17,Alternatives!$I$15:$I$17,J$53,Alternatives!$H$15:$H$17,"Yes")+SUMIFS(Alternatives!$D$20:$D$27,Alternatives!$I$20:$I$27,J53,Alternatives!$H$20:$H$27,"Yes"))*(1+'Building Info &amp; Assumptions'!$E$77)^I$53</f>
        <v>0</v>
      </c>
      <c r="K75" s="220">
        <f>(SUMIFS(Alternatives!$D$15:$D$17,Alternatives!$I$15:$I$17,K$53,Alternatives!$H$15:$H$17,"Yes")+SUMIFS(Alternatives!$D$20:$D$27,Alternatives!$I$20:$I$27,K53,Alternatives!$H$20:$H$27,"Yes"))*(1+'Building Info &amp; Assumptions'!$E$77)^J$53</f>
        <v>0</v>
      </c>
      <c r="L75" s="220">
        <f>(SUMIFS(Alternatives!$D$15:$D$17,Alternatives!$I$15:$I$17,L$53,Alternatives!$H$15:$H$17,"Yes")+SUMIFS(Alternatives!$D$20:$D$27,Alternatives!$I$20:$I$27,L53,Alternatives!$H$20:$H$27,"Yes"))*(1+'Building Info &amp; Assumptions'!$E$77)^K$53</f>
        <v>0</v>
      </c>
      <c r="M75" s="220">
        <f>(SUMIFS(Alternatives!$D$15:$D$17,Alternatives!$I$15:$I$17,M$53,Alternatives!$H$15:$H$17,"Yes")+SUMIFS(Alternatives!$D$20:$D$27,Alternatives!$I$20:$I$27,M53,Alternatives!$H$20:$H$27,"Yes"))*(1+'Building Info &amp; Assumptions'!$E$77)^L$53</f>
        <v>0</v>
      </c>
      <c r="N75" s="220">
        <f>(SUMIFS(Alternatives!$D$15:$D$17,Alternatives!$I$15:$I$17,N$53,Alternatives!$H$15:$H$17,"Yes")+SUMIFS(Alternatives!$D$20:$D$27,Alternatives!$I$20:$I$27,N53,Alternatives!$H$20:$H$27,"Yes"))*(1+'Building Info &amp; Assumptions'!$E$77)^M$53</f>
        <v>0</v>
      </c>
      <c r="O75" s="220">
        <f>(SUMIFS(Alternatives!$D$15:$D$17,Alternatives!$I$15:$I$17,O$53,Alternatives!$H$15:$H$17,"Yes")+SUMIFS(Alternatives!$D$20:$D$27,Alternatives!$I$20:$I$27,O53,Alternatives!$H$20:$H$27,"Yes"))*(1+'Building Info &amp; Assumptions'!$E$77)^N$53</f>
        <v>0</v>
      </c>
      <c r="P75" s="220">
        <f>(SUMIFS(Alternatives!$D$15:$D$17,Alternatives!$I$15:$I$17,P$53,Alternatives!$H$15:$H$17,"Yes")+SUMIFS(Alternatives!$D$20:$D$27,Alternatives!$I$20:$I$27,P53,Alternatives!$H$20:$H$27,"Yes"))*(1+'Building Info &amp; Assumptions'!$E$77)^O$53</f>
        <v>0</v>
      </c>
      <c r="Q75" s="220">
        <f>(SUMIFS(Alternatives!$D$15:$D$17,Alternatives!$I$15:$I$17,Q$53,Alternatives!$H$15:$H$17,"Yes")+SUMIFS(Alternatives!$D$20:$D$27,Alternatives!$I$20:$I$27,Q53,Alternatives!$H$20:$H$27,"Yes"))*(1+'Building Info &amp; Assumptions'!$E$77)^P$53</f>
        <v>0</v>
      </c>
      <c r="R75" s="220">
        <f>(SUMIFS(Alternatives!$D$15:$D$17,Alternatives!$I$15:$I$17,R$53,Alternatives!$H$15:$H$17,"Yes")+SUMIFS(Alternatives!$D$20:$D$27,Alternatives!$I$20:$I$27,R53,Alternatives!$H$20:$H$27,"Yes"))*(1+'Building Info &amp; Assumptions'!$E$77)^Q$53</f>
        <v>0</v>
      </c>
      <c r="S75" s="220">
        <f>(SUMIFS(Alternatives!$D$15:$D$17,Alternatives!$I$15:$I$17,S$53,Alternatives!$H$15:$H$17,"Yes")+SUMIFS(Alternatives!$D$20:$D$27,Alternatives!$I$20:$I$27,S53,Alternatives!$H$20:$H$27,"Yes"))*(1+'Building Info &amp; Assumptions'!$E$77)^R$53</f>
        <v>0</v>
      </c>
      <c r="T75" s="220">
        <f>(SUMIFS(Alternatives!$D$15:$D$17,Alternatives!$I$15:$I$17,T$53,Alternatives!$H$15:$H$17,"Yes")+SUMIFS(Alternatives!$D$20:$D$27,Alternatives!$I$20:$I$27,T53,Alternatives!$H$20:$H$27,"Yes"))*(1+'Building Info &amp; Assumptions'!$E$77)^S$53</f>
        <v>0</v>
      </c>
      <c r="U75" s="220">
        <f>(SUMIFS(Alternatives!$D$15:$D$17,Alternatives!$I$15:$I$17,U$53,Alternatives!$H$15:$H$17,"Yes")+SUMIFS(Alternatives!$D$20:$D$27,Alternatives!$I$20:$I$27,U53,Alternatives!$H$20:$H$27,"Yes"))*(1+'Building Info &amp; Assumptions'!$E$77)^T$53</f>
        <v>0</v>
      </c>
    </row>
    <row r="76" spans="1:21" s="110" customFormat="1">
      <c r="A76" s="571" t="s">
        <v>574</v>
      </c>
      <c r="B76" s="272">
        <f>SUMIFS(Alternatives!$G$15:$G$24,Alternatives!$I$15:$I$24,B$53,Alternatives!$H$15:$H$24,"Yes")+IF(Alternatives!$H$27="Yes",'Operating Statements'!B$66,0)</f>
        <v>0</v>
      </c>
      <c r="C76" s="272">
        <f>SUMIFS(Alternatives!$G$15:$G$24,Alternatives!$I$15:$I$24,C$53,Alternatives!$H$15:$H$24,"Yes")+IF(Alternatives!$H$27="Yes",'Operating Statements'!C$66,0)</f>
        <v>0</v>
      </c>
      <c r="D76" s="272">
        <f>SUMIFS(Alternatives!$G$15:$G$24,Alternatives!$I$15:$I$24,D$53,Alternatives!$H$15:$H$24,"Yes")+IF(Alternatives!$H$27="Yes",'Operating Statements'!D$66,0)</f>
        <v>0</v>
      </c>
      <c r="E76" s="272">
        <f>SUMIFS(Alternatives!$G$15:$G$24,Alternatives!$I$15:$I$24,E$53,Alternatives!$H$15:$H$24,"Yes")+IF(Alternatives!$H$27="Yes",'Operating Statements'!E$66,0)</f>
        <v>0</v>
      </c>
      <c r="F76" s="272">
        <f>SUMIFS(Alternatives!$G$15:$G$24,Alternatives!$I$15:$I$24,F$53,Alternatives!$H$15:$H$24,"Yes")+IF(Alternatives!$H$27="Yes",'Operating Statements'!F$66,0)</f>
        <v>0</v>
      </c>
      <c r="G76" s="272">
        <f>SUMIFS(Alternatives!$G$15:$G$24,Alternatives!$I$15:$I$24,G$53,Alternatives!$H$15:$H$24,"Yes")+IF(Alternatives!$H$27="Yes",'Operating Statements'!G$66,0)</f>
        <v>0</v>
      </c>
      <c r="H76" s="272">
        <f ca="1">SUMIFS(Alternatives!$G$15:$G$24,Alternatives!$I$15:$I$24,H$53,Alternatives!$H$15:$H$24,"Yes")+IF(Alternatives!$H$27="Yes",'Operating Statements'!H$66,0)</f>
        <v>0</v>
      </c>
      <c r="I76" s="272">
        <f>SUMIFS(Alternatives!$G$15:$G$24,Alternatives!$I$15:$I$24,I$53,Alternatives!$H$15:$H$24,"Yes")+IF(Alternatives!$H$27="Yes",'Operating Statements'!I$66,0)</f>
        <v>0</v>
      </c>
      <c r="J76" s="272">
        <f>SUMIFS(Alternatives!$G$15:$G$24,Alternatives!$I$15:$I$24,J$53,Alternatives!$H$15:$H$24,"Yes")+IF(Alternatives!$H$27="Yes",'Operating Statements'!J$66,0)</f>
        <v>0</v>
      </c>
      <c r="K76" s="272">
        <f>SUMIFS(Alternatives!$G$15:$G$24,Alternatives!$I$15:$I$24,K$53,Alternatives!$H$15:$H$24,"Yes")+IF(Alternatives!$H$27="Yes",'Operating Statements'!K$66,0)</f>
        <v>0</v>
      </c>
      <c r="L76" s="272">
        <f>SUMIFS(Alternatives!$G$15:$G$24,Alternatives!$I$15:$I$24,L$53,Alternatives!$H$15:$H$24,"Yes")+IF(Alternatives!$H$27="Yes",'Operating Statements'!L$66,0)</f>
        <v>0</v>
      </c>
      <c r="M76" s="272">
        <f>SUMIFS(Alternatives!$G$15:$G$24,Alternatives!$I$15:$I$24,M$53,Alternatives!$H$15:$H$24,"Yes")+IF(Alternatives!$H$27="Yes",'Operating Statements'!M$66,0)</f>
        <v>0</v>
      </c>
      <c r="N76" s="272">
        <f>SUMIFS(Alternatives!$G$15:$G$24,Alternatives!$I$15:$I$24,N$53,Alternatives!$H$15:$H$24,"Yes")+IF(Alternatives!$H$27="Yes",'Operating Statements'!N$66,0)</f>
        <v>0</v>
      </c>
      <c r="O76" s="272">
        <f>SUMIFS(Alternatives!$G$15:$G$24,Alternatives!$I$15:$I$24,O$53,Alternatives!$H$15:$H$24,"Yes")+IF(Alternatives!$H$27="Yes",'Operating Statements'!O$66,0)</f>
        <v>0</v>
      </c>
      <c r="P76" s="272">
        <f>SUMIFS(Alternatives!$G$15:$G$24,Alternatives!$I$15:$I$24,P$53,Alternatives!$H$15:$H$24,"Yes")+IF(Alternatives!$H$27="Yes",'Operating Statements'!P$66,0)</f>
        <v>0</v>
      </c>
      <c r="Q76" s="272">
        <f>SUMIFS(Alternatives!$G$15:$G$24,Alternatives!$I$15:$I$24,Q$53,Alternatives!$H$15:$H$24,"Yes")+IF(Alternatives!$H$27="Yes",'Operating Statements'!Q$66,0)</f>
        <v>0</v>
      </c>
      <c r="R76" s="272">
        <f>SUMIFS(Alternatives!$G$15:$G$24,Alternatives!$I$15:$I$24,R$53,Alternatives!$H$15:$H$24,"Yes")+IF(Alternatives!$H$27="Yes",'Operating Statements'!R$66,0)</f>
        <v>0</v>
      </c>
      <c r="S76" s="272">
        <f>SUMIFS(Alternatives!$G$15:$G$24,Alternatives!$I$15:$I$24,S$53,Alternatives!$H$15:$H$24,"Yes")+IF(Alternatives!$H$27="Yes",'Operating Statements'!S$66,0)</f>
        <v>0</v>
      </c>
      <c r="T76" s="272">
        <f>SUMIFS(Alternatives!$G$15:$G$24,Alternatives!$I$15:$I$24,T$53,Alternatives!$H$15:$H$24,"Yes")+IF(Alternatives!$H$27="Yes",'Operating Statements'!T$66,0)</f>
        <v>0</v>
      </c>
      <c r="U76" s="272">
        <f>SUMIFS(Alternatives!$G$15:$G$24,Alternatives!$I$15:$I$24,U$53,Alternatives!$H$15:$H$24,"Yes")+IF(Alternatives!$H$27="Yes",'Operating Statements'!U$66,0)</f>
        <v>0</v>
      </c>
    </row>
    <row r="77" spans="1:21">
      <c r="A77" s="571" t="s">
        <v>575</v>
      </c>
      <c r="B77" s="272">
        <f>SUMIFS(Alternatives!$F$15:$F$17,Alternatives!$I$15:$I$17,B53,Alternatives!$H$15:$H$17,"Yes")+SUMIFS(Alternatives!$F$20:$F$24,Alternatives!$I$20:$I$24,B53,Alternatives!$H$20:$H$24,"Yes")</f>
        <v>0</v>
      </c>
      <c r="C77" s="272">
        <f>IF($B$6&gt;=C$53, (SUMIFS(Alternatives!$F$15:$F$17,Alternatives!$I$15:$I$17,C$53,Alternatives!$H$15:$H$17,"Yes")+SUMIFS(Alternatives!$F$20:$F$24,Alternatives!$I$20:$I$24,C$53,Alternatives!$H$20:$H$24,"Yes"))*(1+'Building Info &amp; Assumptions'!$E$77)^B$53)</f>
        <v>0</v>
      </c>
      <c r="D77" s="272">
        <f>IF($B$6&gt;=D$53, (SUMIFS(Alternatives!$F$15:$F$17,Alternatives!$I$15:$I$17,D$53,Alternatives!$H$15:$H$17,"Yes")+SUMIFS(Alternatives!$F$20:$F$24,Alternatives!$I$20:$I$24,D$53,Alternatives!$H$20:$H$24,"Yes"))*(1+'Building Info &amp; Assumptions'!$E$77)^C$53)</f>
        <v>0</v>
      </c>
      <c r="E77" s="272">
        <f>IF($B$6&gt;=E$53, (SUMIFS(Alternatives!$F$15:$F$17,Alternatives!$I$15:$I$17,E$53,Alternatives!$H$15:$H$17,"Yes")+SUMIFS(Alternatives!$F$20:$F$24,Alternatives!$I$20:$I$24,E$53,Alternatives!$H$20:$H$24,"Yes"))*(1+'Building Info &amp; Assumptions'!$E$77)^D$53)</f>
        <v>0</v>
      </c>
      <c r="F77" s="272">
        <f>IF($B$6&gt;=F$53, (SUMIFS(Alternatives!$F$15:$F$17,Alternatives!$I$15:$I$17,F$53,Alternatives!$H$15:$H$17,"Yes")+SUMIFS(Alternatives!$F$20:$F$24,Alternatives!$I$20:$I$24,F$53,Alternatives!$H$20:$H$24,"Yes"))*(1+'Building Info &amp; Assumptions'!$E$77)^E$53)</f>
        <v>0</v>
      </c>
      <c r="G77" s="272">
        <f>IF($B$6&gt;=G$53, (SUMIFS(Alternatives!$F$15:$F$17,Alternatives!$I$15:$I$17,G$53,Alternatives!$H$15:$H$17,"Yes")+SUMIFS(Alternatives!$F$20:$F$24,Alternatives!$I$20:$I$24,G$53,Alternatives!$H$20:$H$24,"Yes"))*(1+'Building Info &amp; Assumptions'!$E$77)^F$53)</f>
        <v>0</v>
      </c>
      <c r="H77" s="272">
        <f ca="1">IF($B$6&gt;=H$53, (SUMIFS(Alternatives!$F$15:$F$17,Alternatives!$I$15:$I$17,H$53,Alternatives!$H$15:$H$17,"Yes")+SUMIFS(Alternatives!$F$20:$F$24,Alternatives!$I$20:$I$24,H$53,Alternatives!$H$20:$H$24,"Yes"))*(1+'Building Info &amp; Assumptions'!$E$77)^G$53)</f>
        <v>7006755.3601637362</v>
      </c>
      <c r="I77" s="272">
        <f>IF($B$6&gt;=I$53, (SUMIFS(Alternatives!$F$15:$F$17,Alternatives!$I$15:$I$17,I$53,Alternatives!$H$15:$H$17,"Yes")+SUMIFS(Alternatives!$F$20:$F$24,Alternatives!$I$20:$I$24,I$53,Alternatives!$H$20:$H$24,"Yes"))*(1+'Building Info &amp; Assumptions'!$E$77)^H$53)</f>
        <v>0</v>
      </c>
      <c r="J77" s="272">
        <f>IF($B$6&gt;=J$53, (SUMIFS(Alternatives!$F$15:$F$17,Alternatives!$I$15:$I$17,J$53,Alternatives!$H$15:$H$17,"Yes")+SUMIFS(Alternatives!$F$20:$F$24,Alternatives!$I$20:$I$24,J$53,Alternatives!$H$20:$H$24,"Yes"))*(1+'Building Info &amp; Assumptions'!$E$77)^I$53)</f>
        <v>0</v>
      </c>
      <c r="K77" s="272">
        <f>IF($B$6&gt;=K$53, (SUMIFS(Alternatives!$F$15:$F$17,Alternatives!$I$15:$I$17,K$53,Alternatives!$H$15:$H$17,"Yes")+SUMIFS(Alternatives!$F$20:$F$24,Alternatives!$I$20:$I$24,K$53,Alternatives!$H$20:$H$24,"Yes"))*(1+'Building Info &amp; Assumptions'!$E$77)^J$53)</f>
        <v>0</v>
      </c>
      <c r="L77" s="272">
        <f>IF($B$6&gt;=L$53, (SUMIFS(Alternatives!$F$15:$F$17,Alternatives!$I$15:$I$17,L$53,Alternatives!$H$15:$H$17,"Yes")+SUMIFS(Alternatives!$F$20:$F$24,Alternatives!$I$20:$I$24,L$53,Alternatives!$H$20:$H$24,"Yes"))*(1+'Building Info &amp; Assumptions'!$E$77)^K$53)</f>
        <v>0</v>
      </c>
      <c r="M77" s="272">
        <f>IF($B$6&gt;=M$53, (SUMIFS(Alternatives!$F$15:$F$17,Alternatives!$I$15:$I$17,M$53,Alternatives!$H$15:$H$17,"Yes")+SUMIFS(Alternatives!$F$20:$F$24,Alternatives!$I$20:$I$24,M$53,Alternatives!$H$20:$H$24,"Yes"))*(1+'Building Info &amp; Assumptions'!$E$77)^L$53)</f>
        <v>0</v>
      </c>
      <c r="N77" s="272">
        <f>IF($B$6&gt;=N$53, (SUMIFS(Alternatives!$F$15:$F$17,Alternatives!$I$15:$I$17,N$53,Alternatives!$H$15:$H$17,"Yes")+SUMIFS(Alternatives!$F$20:$F$24,Alternatives!$I$20:$I$24,N$53,Alternatives!$H$20:$H$24,"Yes"))*(1+'Building Info &amp; Assumptions'!$E$77)^M$53)</f>
        <v>0</v>
      </c>
      <c r="O77" s="272">
        <f>IF($B$6&gt;=O$53, (SUMIFS(Alternatives!$F$15:$F$17,Alternatives!$I$15:$I$17,O$53,Alternatives!$H$15:$H$17,"Yes")+SUMIFS(Alternatives!$F$20:$F$24,Alternatives!$I$20:$I$24,O$53,Alternatives!$H$20:$H$24,"Yes"))*(1+'Building Info &amp; Assumptions'!$E$77)^N$53)</f>
        <v>0</v>
      </c>
      <c r="P77" s="272">
        <f>IF($B$6&gt;=P$53, (SUMIFS(Alternatives!$F$15:$F$17,Alternatives!$I$15:$I$17,P$53,Alternatives!$H$15:$H$17,"Yes")+SUMIFS(Alternatives!$F$20:$F$24,Alternatives!$I$20:$I$24,P$53,Alternatives!$H$20:$H$24,"Yes"))*(1+'Building Info &amp; Assumptions'!$E$77)^O$53)</f>
        <v>0</v>
      </c>
      <c r="Q77" s="272">
        <f>IF($B$6&gt;=Q$53, (SUMIFS(Alternatives!$F$15:$F$17,Alternatives!$I$15:$I$17,Q$53,Alternatives!$H$15:$H$17,"Yes")+SUMIFS(Alternatives!$F$20:$F$24,Alternatives!$I$20:$I$24,Q$53,Alternatives!$H$20:$H$24,"Yes"))*(1+'Building Info &amp; Assumptions'!$E$77)^P$53)</f>
        <v>0</v>
      </c>
      <c r="R77" s="272">
        <f>IF($B$6&gt;=R$53, (SUMIFS(Alternatives!$F$15:$F$17,Alternatives!$I$15:$I$17,R$53,Alternatives!$H$15:$H$17,"Yes")+SUMIFS(Alternatives!$F$20:$F$24,Alternatives!$I$20:$I$24,R$53,Alternatives!$H$20:$H$24,"Yes"))*(1+'Building Info &amp; Assumptions'!$E$77)^Q$53)</f>
        <v>0</v>
      </c>
      <c r="S77" s="272">
        <f>IF($B$6&gt;=S$53, (SUMIFS(Alternatives!$F$15:$F$17,Alternatives!$I$15:$I$17,S$53,Alternatives!$H$15:$H$17,"Yes")+SUMIFS(Alternatives!$F$20:$F$24,Alternatives!$I$20:$I$24,S$53,Alternatives!$H$20:$H$24,"Yes"))*(1+'Building Info &amp; Assumptions'!$E$77)^R$53)</f>
        <v>0</v>
      </c>
      <c r="T77" s="272">
        <f>IF($B$6&gt;=T$53, (SUMIFS(Alternatives!$F$15:$F$17,Alternatives!$I$15:$I$17,T$53,Alternatives!$H$15:$H$17,"Yes")+SUMIFS(Alternatives!$F$20:$F$24,Alternatives!$I$20:$I$24,T$53,Alternatives!$H$20:$H$24,"Yes"))*(1+'Building Info &amp; Assumptions'!$E$77)^S$53)</f>
        <v>0</v>
      </c>
      <c r="U77" s="272">
        <f>IF($B$6&gt;=U$53, (SUMIFS(Alternatives!$F$15:$F$17,Alternatives!$I$15:$I$17,U$53,Alternatives!$H$15:$H$17,"Yes")+SUMIFS(Alternatives!$F$20:$F$24,Alternatives!$I$20:$I$24,U$53,Alternatives!$H$20:$H$24,"Yes"))*(1+'Building Info &amp; Assumptions'!$E$77)^T$53)</f>
        <v>0</v>
      </c>
    </row>
    <row r="78" spans="1:21">
      <c r="A78" s="110"/>
      <c r="B78" s="204"/>
      <c r="C78" s="205"/>
      <c r="D78" s="205"/>
      <c r="E78" s="205"/>
      <c r="F78" s="205"/>
      <c r="G78" s="205"/>
      <c r="H78" s="205"/>
      <c r="I78" s="205"/>
      <c r="J78" s="205"/>
      <c r="K78" s="205"/>
      <c r="L78" s="205"/>
      <c r="M78" s="205"/>
      <c r="N78" s="205"/>
      <c r="O78" s="205"/>
      <c r="P78" s="205"/>
      <c r="Q78" s="205"/>
      <c r="R78" s="205"/>
      <c r="S78" s="205"/>
      <c r="T78" s="205"/>
      <c r="U78" s="205"/>
    </row>
    <row r="79" spans="1:21">
      <c r="A79" s="202" t="s">
        <v>309</v>
      </c>
      <c r="B79" s="206">
        <f>SUM(B61:B73)</f>
        <v>49405153.05555556</v>
      </c>
      <c r="C79" s="206">
        <f t="shared" ref="C79:U79" ca="1" si="36">SUM(C61:C73)</f>
        <v>58394869.481600001</v>
      </c>
      <c r="D79" s="206">
        <f t="shared" ca="1" si="36"/>
        <v>52335463.825215995</v>
      </c>
      <c r="E79" s="206">
        <f t="shared" ca="1" si="36"/>
        <v>53934686.062744156</v>
      </c>
      <c r="F79" s="206">
        <f t="shared" ca="1" si="36"/>
        <v>56205480.57397721</v>
      </c>
      <c r="G79" s="206">
        <f t="shared" ca="1" si="36"/>
        <v>57386284.207679354</v>
      </c>
      <c r="H79" s="206">
        <f t="shared" ca="1" si="36"/>
        <v>65984008.264215119</v>
      </c>
      <c r="I79" s="206">
        <f t="shared" ca="1" si="36"/>
        <v>60799091.962585673</v>
      </c>
      <c r="J79" s="206">
        <f t="shared" ca="1" si="36"/>
        <v>62681709.930013381</v>
      </c>
      <c r="K79" s="206">
        <f t="shared" ca="1" si="36"/>
        <v>66120005.391568452</v>
      </c>
      <c r="L79" s="206">
        <f t="shared" ca="1" si="36"/>
        <v>67870116.204672098</v>
      </c>
      <c r="M79" s="206">
        <f t="shared" ca="1" si="36"/>
        <v>74044119.507134825</v>
      </c>
      <c r="N79" s="206">
        <f t="shared" ca="1" si="36"/>
        <v>71545232.350193992</v>
      </c>
      <c r="O79" s="206">
        <f t="shared" ca="1" si="36"/>
        <v>73504491.512764692</v>
      </c>
      <c r="P79" s="206">
        <f t="shared" ca="1" si="36"/>
        <v>79212387.862445891</v>
      </c>
      <c r="Q79" s="206">
        <f t="shared" ca="1" si="36"/>
        <v>81322919.874377936</v>
      </c>
      <c r="R79" s="206">
        <f t="shared" ca="1" si="36"/>
        <v>83513006.350193754</v>
      </c>
      <c r="S79" s="206">
        <f t="shared" ca="1" si="36"/>
        <v>85785389.041457415</v>
      </c>
      <c r="T79" s="206">
        <f t="shared" ca="1" si="36"/>
        <v>88142900.364681959</v>
      </c>
      <c r="U79" s="206">
        <f t="shared" ca="1" si="36"/>
        <v>90588466.21112819</v>
      </c>
    </row>
    <row r="80" spans="1:21" s="221" customFormat="1">
      <c r="A80" s="571" t="s">
        <v>576</v>
      </c>
      <c r="B80" s="206">
        <f>B75+B76+B77</f>
        <v>0</v>
      </c>
      <c r="C80" s="206">
        <f t="shared" ref="C80:U80" si="37">C75+C76+C77</f>
        <v>0</v>
      </c>
      <c r="D80" s="206">
        <f t="shared" si="37"/>
        <v>0</v>
      </c>
      <c r="E80" s="206">
        <f t="shared" si="37"/>
        <v>0</v>
      </c>
      <c r="F80" s="206">
        <f t="shared" si="37"/>
        <v>0</v>
      </c>
      <c r="G80" s="206">
        <f t="shared" si="37"/>
        <v>0</v>
      </c>
      <c r="H80" s="206">
        <f t="shared" ca="1" si="37"/>
        <v>7099569.0543240523</v>
      </c>
      <c r="I80" s="206">
        <f t="shared" si="37"/>
        <v>0</v>
      </c>
      <c r="J80" s="206">
        <f t="shared" si="37"/>
        <v>0</v>
      </c>
      <c r="K80" s="206">
        <f t="shared" si="37"/>
        <v>0</v>
      </c>
      <c r="L80" s="206">
        <f t="shared" si="37"/>
        <v>0</v>
      </c>
      <c r="M80" s="206">
        <f t="shared" si="37"/>
        <v>0</v>
      </c>
      <c r="N80" s="206">
        <f t="shared" si="37"/>
        <v>0</v>
      </c>
      <c r="O80" s="206">
        <f t="shared" si="37"/>
        <v>0</v>
      </c>
      <c r="P80" s="206">
        <f t="shared" si="37"/>
        <v>0</v>
      </c>
      <c r="Q80" s="206">
        <f t="shared" si="37"/>
        <v>0</v>
      </c>
      <c r="R80" s="206">
        <f t="shared" si="37"/>
        <v>0</v>
      </c>
      <c r="S80" s="206">
        <f t="shared" si="37"/>
        <v>0</v>
      </c>
      <c r="T80" s="206">
        <f t="shared" si="37"/>
        <v>0</v>
      </c>
      <c r="U80" s="206">
        <f t="shared" si="37"/>
        <v>0</v>
      </c>
    </row>
    <row r="81" spans="1:22">
      <c r="A81" s="110"/>
      <c r="B81" s="207"/>
      <c r="C81" s="207"/>
      <c r="D81" s="207"/>
      <c r="E81" s="207"/>
      <c r="F81" s="207"/>
      <c r="G81" s="207"/>
      <c r="H81" s="207"/>
      <c r="I81" s="207"/>
      <c r="J81" s="207"/>
      <c r="K81" s="207"/>
      <c r="L81" s="207"/>
      <c r="M81" s="207"/>
      <c r="N81" s="207"/>
      <c r="O81" s="207"/>
      <c r="P81" s="207"/>
      <c r="Q81" s="207"/>
      <c r="R81" s="207"/>
      <c r="S81" s="207"/>
      <c r="T81" s="207"/>
      <c r="U81" s="207"/>
    </row>
    <row r="82" spans="1:22">
      <c r="A82" s="110" t="s">
        <v>577</v>
      </c>
      <c r="C82" s="208">
        <f ca="1">C79-B79</f>
        <v>8989716.4260444418</v>
      </c>
      <c r="D82" s="208">
        <f t="shared" ref="D82:K82" ca="1" si="38">D79-C79</f>
        <v>-6059405.6563840061</v>
      </c>
      <c r="E82" s="208">
        <f t="shared" ca="1" si="38"/>
        <v>1599222.2375281602</v>
      </c>
      <c r="F82" s="208">
        <f t="shared" ca="1" si="38"/>
        <v>2270794.5112330541</v>
      </c>
      <c r="G82" s="208">
        <f t="shared" ca="1" si="38"/>
        <v>1180803.633702144</v>
      </c>
      <c r="H82" s="208">
        <f t="shared" ca="1" si="38"/>
        <v>8597724.0565357655</v>
      </c>
      <c r="I82" s="208">
        <f t="shared" ca="1" si="38"/>
        <v>-5184916.3016294464</v>
      </c>
      <c r="J82" s="208">
        <f t="shared" ca="1" si="38"/>
        <v>1882617.9674277082</v>
      </c>
      <c r="K82" s="208">
        <f t="shared" ca="1" si="38"/>
        <v>3438295.4615550712</v>
      </c>
      <c r="L82" s="208">
        <f t="shared" ref="L82:U82" ca="1" si="39">L79-K79</f>
        <v>1750110.813103646</v>
      </c>
      <c r="M82" s="208">
        <f t="shared" ca="1" si="39"/>
        <v>6174003.3024627268</v>
      </c>
      <c r="N82" s="208">
        <f t="shared" ca="1" si="39"/>
        <v>-2498887.1569408327</v>
      </c>
      <c r="O82" s="208">
        <f t="shared" ca="1" si="39"/>
        <v>1959259.1625707</v>
      </c>
      <c r="P82" s="208">
        <f t="shared" ca="1" si="39"/>
        <v>5707896.3496811986</v>
      </c>
      <c r="Q82" s="208">
        <f t="shared" ca="1" si="39"/>
        <v>2110532.0119320452</v>
      </c>
      <c r="R82" s="208">
        <f t="shared" ca="1" si="39"/>
        <v>2190086.4758158177</v>
      </c>
      <c r="S82" s="208">
        <f t="shared" ca="1" si="39"/>
        <v>2272382.6912636608</v>
      </c>
      <c r="T82" s="208">
        <f t="shared" ca="1" si="39"/>
        <v>2357511.3232245445</v>
      </c>
      <c r="U82" s="208">
        <f t="shared" ca="1" si="39"/>
        <v>2445565.846446231</v>
      </c>
    </row>
    <row r="83" spans="1:22" s="425" customFormat="1">
      <c r="A83" s="424"/>
      <c r="C83" s="209">
        <f ca="1">C82/B79</f>
        <v>0.18195908463102226</v>
      </c>
      <c r="D83" s="209">
        <f t="shared" ref="D83:K83" ca="1" si="40">D82/C79</f>
        <v>-0.10376606215882204</v>
      </c>
      <c r="E83" s="209">
        <f t="shared" ca="1" si="40"/>
        <v>3.0557142721980263E-2</v>
      </c>
      <c r="F83" s="209">
        <f t="shared" ca="1" si="40"/>
        <v>4.210267412313029E-2</v>
      </c>
      <c r="G83" s="209">
        <f t="shared" ca="1" si="40"/>
        <v>2.100869206425483E-2</v>
      </c>
      <c r="H83" s="209">
        <f t="shared" ca="1" si="40"/>
        <v>0.14982193350280082</v>
      </c>
      <c r="I83" s="209">
        <f t="shared" ca="1" si="40"/>
        <v>-7.8578377367859359E-2</v>
      </c>
      <c r="J83" s="209">
        <f t="shared" ca="1" si="40"/>
        <v>3.0964573756894705E-2</v>
      </c>
      <c r="K83" s="209">
        <f t="shared" ca="1" si="40"/>
        <v>5.4853249303410269E-2</v>
      </c>
      <c r="L83" s="209">
        <f t="shared" ref="L83:U83" ca="1" si="41">L82/K79</f>
        <v>2.6468703424014212E-2</v>
      </c>
      <c r="M83" s="209">
        <f t="shared" ca="1" si="41"/>
        <v>9.0967920017171203E-2</v>
      </c>
      <c r="N83" s="209">
        <f t="shared" ca="1" si="41"/>
        <v>-3.3748624111872141E-2</v>
      </c>
      <c r="O83" s="209">
        <f t="shared" ca="1" si="41"/>
        <v>2.7384901805625174E-2</v>
      </c>
      <c r="P83" s="209">
        <f t="shared" ca="1" si="41"/>
        <v>7.7653708395356666E-2</v>
      </c>
      <c r="Q83" s="209">
        <f t="shared" ca="1" si="41"/>
        <v>2.6643964017307897E-2</v>
      </c>
      <c r="R83" s="209">
        <f t="shared" ca="1" si="41"/>
        <v>2.6930740794832663E-2</v>
      </c>
      <c r="S83" s="209">
        <f t="shared" ca="1" si="41"/>
        <v>2.7209925622063164E-2</v>
      </c>
      <c r="T83" s="209">
        <f t="shared" ca="1" si="41"/>
        <v>2.7481501798461653E-2</v>
      </c>
      <c r="U83" s="209">
        <f t="shared" ca="1" si="41"/>
        <v>2.7745466014029038E-2</v>
      </c>
    </row>
    <row r="84" spans="1:22">
      <c r="A84" s="110" t="s">
        <v>311</v>
      </c>
      <c r="C84" s="208">
        <f ca="1">C79-$B$79</f>
        <v>8989716.4260444418</v>
      </c>
      <c r="D84" s="208">
        <f t="shared" ref="D84:K84" ca="1" si="42">D79-$B$79</f>
        <v>2930310.7696604356</v>
      </c>
      <c r="E84" s="208">
        <f t="shared" ca="1" si="42"/>
        <v>4529533.0071885958</v>
      </c>
      <c r="F84" s="208">
        <f t="shared" ca="1" si="42"/>
        <v>6800327.5184216499</v>
      </c>
      <c r="G84" s="208">
        <f t="shared" ca="1" si="42"/>
        <v>7981131.152123794</v>
      </c>
      <c r="H84" s="208">
        <f t="shared" ca="1" si="42"/>
        <v>16578855.208659559</v>
      </c>
      <c r="I84" s="208">
        <f t="shared" ca="1" si="42"/>
        <v>11393938.907030113</v>
      </c>
      <c r="J84" s="208">
        <f t="shared" ca="1" si="42"/>
        <v>13276556.874457821</v>
      </c>
      <c r="K84" s="208">
        <f t="shared" ca="1" si="42"/>
        <v>16714852.336012892</v>
      </c>
      <c r="L84" s="208">
        <f t="shared" ref="L84:U84" ca="1" si="43">L79-$B$79</f>
        <v>18464963.149116538</v>
      </c>
      <c r="M84" s="208">
        <f t="shared" ca="1" si="43"/>
        <v>24638966.451579265</v>
      </c>
      <c r="N84" s="208">
        <f t="shared" ca="1" si="43"/>
        <v>22140079.294638433</v>
      </c>
      <c r="O84" s="208">
        <f t="shared" ca="1" si="43"/>
        <v>24099338.457209133</v>
      </c>
      <c r="P84" s="208">
        <f t="shared" ca="1" si="43"/>
        <v>29807234.806890331</v>
      </c>
      <c r="Q84" s="208">
        <f t="shared" ca="1" si="43"/>
        <v>31917766.818822376</v>
      </c>
      <c r="R84" s="208">
        <f t="shared" ca="1" si="43"/>
        <v>34107853.294638194</v>
      </c>
      <c r="S84" s="208">
        <f t="shared" ca="1" si="43"/>
        <v>36380235.985901855</v>
      </c>
      <c r="T84" s="208">
        <f t="shared" ca="1" si="43"/>
        <v>38737747.309126399</v>
      </c>
      <c r="U84" s="208">
        <f t="shared" ca="1" si="43"/>
        <v>41183313.15557263</v>
      </c>
    </row>
    <row r="85" spans="1:22">
      <c r="A85" s="110"/>
      <c r="B85" s="207"/>
      <c r="C85" s="207"/>
      <c r="D85" s="207"/>
      <c r="E85" s="207"/>
      <c r="F85" s="207"/>
      <c r="G85" s="207"/>
      <c r="H85" s="207"/>
      <c r="I85" s="207"/>
      <c r="J85" s="207"/>
      <c r="K85" s="207"/>
      <c r="L85" s="207"/>
      <c r="M85" s="207"/>
      <c r="N85" s="207"/>
      <c r="O85" s="207"/>
      <c r="P85" s="207"/>
      <c r="Q85" s="207"/>
      <c r="R85" s="207"/>
      <c r="S85" s="207"/>
      <c r="T85" s="207"/>
      <c r="U85" s="207"/>
    </row>
    <row r="86" spans="1:22" ht="15.95" thickBot="1">
      <c r="A86" s="202" t="s">
        <v>312</v>
      </c>
      <c r="B86" s="210">
        <f>B58-B79</f>
        <v>68589108.055555552</v>
      </c>
      <c r="C86" s="210">
        <f t="shared" ref="C86:U86" ca="1" si="44">C58-C79</f>
        <v>63729130.518399999</v>
      </c>
      <c r="D86" s="210">
        <f t="shared" ca="1" si="44"/>
        <v>74062836.174784005</v>
      </c>
      <c r="E86" s="210">
        <f t="shared" ca="1" si="44"/>
        <v>76887613.937255844</v>
      </c>
      <c r="F86" s="210">
        <f t="shared" ca="1" si="44"/>
        <v>79195619.426022798</v>
      </c>
      <c r="G86" s="210">
        <f t="shared" ca="1" si="44"/>
        <v>82753815.792320639</v>
      </c>
      <c r="H86" s="210">
        <f t="shared" ca="1" si="44"/>
        <v>79061091.735784888</v>
      </c>
      <c r="I86" s="210">
        <f t="shared" ca="1" si="44"/>
        <v>89322508.037414327</v>
      </c>
      <c r="J86" s="210">
        <f t="shared" ca="1" si="44"/>
        <v>92694190.069986612</v>
      </c>
      <c r="K86" s="210">
        <f t="shared" ca="1" si="44"/>
        <v>94693994.608431548</v>
      </c>
      <c r="L86" s="210">
        <f t="shared" ca="1" si="44"/>
        <v>98572383.795327902</v>
      </c>
      <c r="M86" s="210">
        <f t="shared" ca="1" si="44"/>
        <v>98223880.492865175</v>
      </c>
      <c r="N86" s="210">
        <f t="shared" ca="1" si="44"/>
        <v>106752067.64980601</v>
      </c>
      <c r="O86" s="210">
        <f t="shared" ca="1" si="44"/>
        <v>111033208.48723531</v>
      </c>
      <c r="P86" s="210">
        <f t="shared" ca="1" si="44"/>
        <v>111784112.13755411</v>
      </c>
      <c r="Q86" s="210">
        <f t="shared" ca="1" si="44"/>
        <v>116358480.12562206</v>
      </c>
      <c r="R86" s="210">
        <f t="shared" ca="1" si="44"/>
        <v>121087193.64980625</v>
      </c>
      <c r="S86" s="210">
        <f t="shared" ca="1" si="44"/>
        <v>125975810.95854259</v>
      </c>
      <c r="T86" s="210">
        <f t="shared" ca="1" si="44"/>
        <v>131029999.63531804</v>
      </c>
      <c r="U86" s="210">
        <f t="shared" ca="1" si="44"/>
        <v>136255533.78887182</v>
      </c>
    </row>
    <row r="87" spans="1:22" s="221" customFormat="1" ht="17.100000000000001" thickTop="1" thickBot="1">
      <c r="A87" s="571" t="s">
        <v>578</v>
      </c>
      <c r="B87" s="718">
        <f>-B80</f>
        <v>0</v>
      </c>
      <c r="C87" s="718">
        <f t="shared" ref="C87:U87" si="45">-C80</f>
        <v>0</v>
      </c>
      <c r="D87" s="718">
        <f t="shared" si="45"/>
        <v>0</v>
      </c>
      <c r="E87" s="718">
        <f t="shared" si="45"/>
        <v>0</v>
      </c>
      <c r="F87" s="718">
        <f t="shared" si="45"/>
        <v>0</v>
      </c>
      <c r="G87" s="718">
        <f t="shared" si="45"/>
        <v>0</v>
      </c>
      <c r="H87" s="718">
        <f t="shared" ca="1" si="45"/>
        <v>-7099569.0543240523</v>
      </c>
      <c r="I87" s="718">
        <f t="shared" si="45"/>
        <v>0</v>
      </c>
      <c r="J87" s="718">
        <f t="shared" si="45"/>
        <v>0</v>
      </c>
      <c r="K87" s="718">
        <f t="shared" si="45"/>
        <v>0</v>
      </c>
      <c r="L87" s="718">
        <f t="shared" si="45"/>
        <v>0</v>
      </c>
      <c r="M87" s="718">
        <f t="shared" si="45"/>
        <v>0</v>
      </c>
      <c r="N87" s="718">
        <f t="shared" si="45"/>
        <v>0</v>
      </c>
      <c r="O87" s="718">
        <f t="shared" si="45"/>
        <v>0</v>
      </c>
      <c r="P87" s="718">
        <f t="shared" si="45"/>
        <v>0</v>
      </c>
      <c r="Q87" s="718">
        <f t="shared" si="45"/>
        <v>0</v>
      </c>
      <c r="R87" s="718">
        <f t="shared" si="45"/>
        <v>0</v>
      </c>
      <c r="S87" s="718">
        <f t="shared" si="45"/>
        <v>0</v>
      </c>
      <c r="T87" s="718">
        <f t="shared" si="45"/>
        <v>0</v>
      </c>
      <c r="U87" s="718">
        <f t="shared" si="45"/>
        <v>0</v>
      </c>
    </row>
    <row r="88" spans="1:22" ht="15.95" thickTop="1">
      <c r="A88" s="110"/>
      <c r="B88" s="211"/>
      <c r="C88" s="211"/>
      <c r="D88" s="211"/>
      <c r="E88" s="211"/>
      <c r="F88" s="211"/>
      <c r="G88" s="211"/>
      <c r="H88" s="110"/>
      <c r="I88" s="110"/>
      <c r="J88" s="110"/>
      <c r="K88" s="110"/>
    </row>
    <row r="89" spans="1:22">
      <c r="A89" s="110" t="s">
        <v>310</v>
      </c>
      <c r="C89" s="208">
        <f ca="1">C86-B86</f>
        <v>-4859977.5371555537</v>
      </c>
      <c r="D89" s="208">
        <f t="shared" ref="D89:K89" ca="1" si="46">D86-C86</f>
        <v>10333705.656384006</v>
      </c>
      <c r="E89" s="208">
        <f t="shared" ca="1" si="46"/>
        <v>2824777.7624718398</v>
      </c>
      <c r="F89" s="208">
        <f t="shared" ca="1" si="46"/>
        <v>2308005.4887669533</v>
      </c>
      <c r="G89" s="208">
        <f t="shared" ca="1" si="46"/>
        <v>3558196.3662978411</v>
      </c>
      <c r="H89" s="208">
        <f t="shared" ca="1" si="46"/>
        <v>-3692724.0565357506</v>
      </c>
      <c r="I89" s="208">
        <f t="shared" ca="1" si="46"/>
        <v>10261416.301629439</v>
      </c>
      <c r="J89" s="208">
        <f t="shared" ca="1" si="46"/>
        <v>3371682.0325722843</v>
      </c>
      <c r="K89" s="208">
        <f t="shared" ca="1" si="46"/>
        <v>1999804.5384449363</v>
      </c>
      <c r="L89" s="208">
        <f t="shared" ref="L89:U89" ca="1" si="47">L86-K86</f>
        <v>3878389.186896354</v>
      </c>
      <c r="M89" s="208">
        <f t="shared" ca="1" si="47"/>
        <v>-348503.30246272683</v>
      </c>
      <c r="N89" s="208">
        <f t="shared" ca="1" si="47"/>
        <v>8528187.1569408327</v>
      </c>
      <c r="O89" s="208">
        <f t="shared" ca="1" si="47"/>
        <v>4281140.8374293</v>
      </c>
      <c r="P89" s="208">
        <f t="shared" ca="1" si="47"/>
        <v>750903.6503188014</v>
      </c>
      <c r="Q89" s="208">
        <f t="shared" ca="1" si="47"/>
        <v>4574367.9880679548</v>
      </c>
      <c r="R89" s="208">
        <f t="shared" ca="1" si="47"/>
        <v>4728713.5241841823</v>
      </c>
      <c r="S89" s="208">
        <f t="shared" ca="1" si="47"/>
        <v>4888617.3087363392</v>
      </c>
      <c r="T89" s="208">
        <f t="shared" ca="1" si="47"/>
        <v>5054188.6767754555</v>
      </c>
      <c r="U89" s="208">
        <f t="shared" ca="1" si="47"/>
        <v>5225534.1535537839</v>
      </c>
    </row>
    <row r="90" spans="1:22" s="425" customFormat="1">
      <c r="A90" s="424"/>
      <c r="C90" s="209">
        <f ca="1">C89/B86</f>
        <v>-7.0856403807133442E-2</v>
      </c>
      <c r="D90" s="209">
        <f t="shared" ref="D90:K90" ca="1" si="48">D89/C86</f>
        <v>0.16215042590923845</v>
      </c>
      <c r="E90" s="209">
        <f t="shared" ca="1" si="48"/>
        <v>3.8140286118742844E-2</v>
      </c>
      <c r="F90" s="209">
        <f t="shared" ca="1" si="48"/>
        <v>3.0017910175368451E-2</v>
      </c>
      <c r="G90" s="209">
        <f t="shared" ca="1" si="48"/>
        <v>4.4929206843587831E-2</v>
      </c>
      <c r="H90" s="209">
        <f t="shared" ca="1" si="48"/>
        <v>-4.4623006458131526E-2</v>
      </c>
      <c r="I90" s="209">
        <f t="shared" ca="1" si="48"/>
        <v>0.12979097652638261</v>
      </c>
      <c r="J90" s="209">
        <f t="shared" ca="1" si="48"/>
        <v>3.7747283486039097E-2</v>
      </c>
      <c r="K90" s="209">
        <f t="shared" ca="1" si="48"/>
        <v>2.1574216646534479E-2</v>
      </c>
      <c r="L90" s="209">
        <f t="shared" ref="L90:U90" ca="1" si="49">L89/K86</f>
        <v>4.0957076559436034E-2</v>
      </c>
      <c r="M90" s="209">
        <f t="shared" ca="1" si="49"/>
        <v>-3.535506488169611E-3</v>
      </c>
      <c r="N90" s="209">
        <f t="shared" ca="1" si="49"/>
        <v>8.6823969020041997E-2</v>
      </c>
      <c r="O90" s="209">
        <f t="shared" ca="1" si="49"/>
        <v>4.0103587046888267E-2</v>
      </c>
      <c r="P90" s="209">
        <f t="shared" ca="1" si="49"/>
        <v>6.762874463860309E-3</v>
      </c>
      <c r="Q90" s="209">
        <f t="shared" ca="1" si="49"/>
        <v>4.0921450290172197E-2</v>
      </c>
      <c r="R90" s="209">
        <f t="shared" ca="1" si="49"/>
        <v>4.0639182628365411E-2</v>
      </c>
      <c r="S90" s="209">
        <f t="shared" ca="1" si="49"/>
        <v>4.0372703019896615E-2</v>
      </c>
      <c r="T90" s="209">
        <f t="shared" ca="1" si="49"/>
        <v>4.0120310703447189E-2</v>
      </c>
      <c r="U90" s="209">
        <f t="shared" ca="1" si="49"/>
        <v>3.9880440876879045E-2</v>
      </c>
    </row>
    <row r="91" spans="1:22">
      <c r="A91" s="110" t="s">
        <v>311</v>
      </c>
      <c r="C91" s="208">
        <f ca="1">C86-$B$86</f>
        <v>-4859977.5371555537</v>
      </c>
      <c r="D91" s="208">
        <f t="shared" ref="D91:K91" ca="1" si="50">D86-$B$86</f>
        <v>5473728.1192284524</v>
      </c>
      <c r="E91" s="208">
        <f t="shared" ca="1" si="50"/>
        <v>8298505.8817002922</v>
      </c>
      <c r="F91" s="208">
        <f t="shared" ca="1" si="50"/>
        <v>10606511.370467246</v>
      </c>
      <c r="G91" s="208">
        <f t="shared" ca="1" si="50"/>
        <v>14164707.736765087</v>
      </c>
      <c r="H91" s="208">
        <f t="shared" ca="1" si="50"/>
        <v>10471983.680229336</v>
      </c>
      <c r="I91" s="208">
        <f t="shared" ca="1" si="50"/>
        <v>20733399.981858775</v>
      </c>
      <c r="J91" s="208">
        <f t="shared" ca="1" si="50"/>
        <v>24105082.014431059</v>
      </c>
      <c r="K91" s="208">
        <f t="shared" ca="1" si="50"/>
        <v>26104886.552875996</v>
      </c>
      <c r="L91" s="208">
        <f t="shared" ref="L91:U91" ca="1" si="51">L86-$B$86</f>
        <v>29983275.73977235</v>
      </c>
      <c r="M91" s="208">
        <f t="shared" ca="1" si="51"/>
        <v>29634772.437309623</v>
      </c>
      <c r="N91" s="208">
        <f t="shared" ca="1" si="51"/>
        <v>38162959.594250455</v>
      </c>
      <c r="O91" s="208">
        <f t="shared" ca="1" si="51"/>
        <v>42444100.431679755</v>
      </c>
      <c r="P91" s="208">
        <f t="shared" ca="1" si="51"/>
        <v>43195004.081998557</v>
      </c>
      <c r="Q91" s="208">
        <f t="shared" ca="1" si="51"/>
        <v>47769372.070066512</v>
      </c>
      <c r="R91" s="208">
        <f t="shared" ca="1" si="51"/>
        <v>52498085.594250694</v>
      </c>
      <c r="S91" s="208">
        <f t="shared" ca="1" si="51"/>
        <v>57386702.902987033</v>
      </c>
      <c r="T91" s="208">
        <f t="shared" ca="1" si="51"/>
        <v>62440891.579762489</v>
      </c>
      <c r="U91" s="208">
        <f t="shared" ca="1" si="51"/>
        <v>67666425.733316272</v>
      </c>
    </row>
    <row r="93" spans="1:22" s="304" customFormat="1">
      <c r="A93" s="303" t="str" cm="1">
        <f t="array" ref="A93:H93">Alternatives!$B$30:$I$30</f>
        <v>Baseline - Offset Based Compliance</v>
      </c>
      <c r="B93" s="304">
        <v>0</v>
      </c>
      <c r="C93" s="304">
        <v>0</v>
      </c>
      <c r="D93" s="304">
        <v>0</v>
      </c>
      <c r="E93" s="304">
        <v>0</v>
      </c>
      <c r="F93" s="304">
        <v>0</v>
      </c>
      <c r="G93" s="304">
        <v>0</v>
      </c>
      <c r="H93" s="304">
        <v>0</v>
      </c>
      <c r="L93" s="432"/>
      <c r="M93" s="432"/>
      <c r="N93" s="432"/>
      <c r="O93" s="432"/>
      <c r="P93" s="432"/>
      <c r="Q93" s="432"/>
      <c r="R93" s="432"/>
      <c r="S93" s="432"/>
      <c r="T93" s="432"/>
      <c r="U93" s="432"/>
    </row>
    <row r="94" spans="1:22">
      <c r="A94" s="221"/>
      <c r="B94" s="221"/>
      <c r="C94" s="221"/>
      <c r="D94" s="221"/>
      <c r="E94" s="221"/>
      <c r="F94" s="221"/>
      <c r="G94" s="221"/>
      <c r="H94" s="221"/>
      <c r="I94" s="221"/>
      <c r="J94" s="221"/>
      <c r="K94" s="221"/>
      <c r="L94" s="471"/>
      <c r="M94" s="471"/>
      <c r="N94" s="471"/>
      <c r="O94" s="471"/>
      <c r="P94" s="471"/>
      <c r="Q94" s="471"/>
      <c r="R94" s="471"/>
      <c r="S94" s="471"/>
      <c r="T94" s="471"/>
      <c r="U94" s="471"/>
      <c r="V94" s="221"/>
    </row>
    <row r="95" spans="1:22">
      <c r="A95" s="271" t="s">
        <v>579</v>
      </c>
      <c r="B95" s="221"/>
      <c r="C95" s="221"/>
      <c r="D95" s="221"/>
      <c r="E95" s="221"/>
      <c r="F95" s="221"/>
      <c r="G95" s="221"/>
      <c r="H95" s="221"/>
      <c r="I95" s="221"/>
      <c r="J95" s="221"/>
      <c r="K95" s="221"/>
      <c r="L95" s="471"/>
      <c r="M95" s="471"/>
      <c r="N95" s="471"/>
      <c r="O95" s="471"/>
      <c r="P95" s="471"/>
      <c r="Q95" s="471"/>
      <c r="R95" s="471"/>
      <c r="S95" s="471"/>
      <c r="T95" s="471"/>
      <c r="U95" s="471"/>
      <c r="V95" s="221"/>
    </row>
    <row r="96" spans="1:22">
      <c r="A96" s="471"/>
      <c r="B96" s="644">
        <v>1</v>
      </c>
      <c r="C96" s="644">
        <v>2</v>
      </c>
      <c r="D96" s="644">
        <v>3</v>
      </c>
      <c r="E96" s="644">
        <v>4</v>
      </c>
      <c r="F96" s="644">
        <v>5</v>
      </c>
      <c r="G96" s="644">
        <v>6</v>
      </c>
      <c r="H96" s="644">
        <v>7</v>
      </c>
      <c r="I96" s="644">
        <v>8</v>
      </c>
      <c r="J96" s="644">
        <v>9</v>
      </c>
      <c r="K96" s="644">
        <v>10</v>
      </c>
      <c r="L96" s="644">
        <v>11</v>
      </c>
      <c r="M96" s="644">
        <v>12</v>
      </c>
      <c r="N96" s="644">
        <v>13</v>
      </c>
      <c r="O96" s="644">
        <v>14</v>
      </c>
      <c r="P96" s="644">
        <v>15</v>
      </c>
      <c r="Q96" s="644">
        <v>16</v>
      </c>
      <c r="R96" s="644">
        <v>17</v>
      </c>
      <c r="S96" s="644">
        <v>18</v>
      </c>
      <c r="T96" s="644">
        <v>19</v>
      </c>
      <c r="U96" s="644">
        <v>20</v>
      </c>
      <c r="V96" s="221"/>
    </row>
    <row r="97" spans="1:22">
      <c r="A97" s="645" t="s">
        <v>303</v>
      </c>
      <c r="B97" s="272">
        <f t="shared" ref="B97:U97" si="52">B12</f>
        <v>122910661.11111112</v>
      </c>
      <c r="C97" s="272">
        <f t="shared" si="52"/>
        <v>127212500</v>
      </c>
      <c r="D97" s="272">
        <f t="shared" si="52"/>
        <v>131664900</v>
      </c>
      <c r="E97" s="272">
        <f t="shared" si="52"/>
        <v>136273200</v>
      </c>
      <c r="F97" s="272">
        <f t="shared" si="52"/>
        <v>141042800</v>
      </c>
      <c r="G97" s="272">
        <f t="shared" si="52"/>
        <v>145979300</v>
      </c>
      <c r="H97" s="272">
        <f t="shared" si="52"/>
        <v>151088600</v>
      </c>
      <c r="I97" s="272">
        <f t="shared" si="52"/>
        <v>156376700</v>
      </c>
      <c r="J97" s="272">
        <f t="shared" si="52"/>
        <v>161849900</v>
      </c>
      <c r="K97" s="272">
        <f t="shared" si="52"/>
        <v>167514600</v>
      </c>
      <c r="L97" s="272">
        <f t="shared" si="52"/>
        <v>173377600</v>
      </c>
      <c r="M97" s="272">
        <f t="shared" si="52"/>
        <v>179445800</v>
      </c>
      <c r="N97" s="272">
        <f t="shared" si="52"/>
        <v>185726400</v>
      </c>
      <c r="O97" s="272">
        <f t="shared" si="52"/>
        <v>192226800</v>
      </c>
      <c r="P97" s="272">
        <f t="shared" si="52"/>
        <v>198954700</v>
      </c>
      <c r="Q97" s="272">
        <f t="shared" si="52"/>
        <v>205918100</v>
      </c>
      <c r="R97" s="272">
        <f t="shared" si="52"/>
        <v>213125200</v>
      </c>
      <c r="S97" s="272">
        <f t="shared" si="52"/>
        <v>220584600</v>
      </c>
      <c r="T97" s="272">
        <f t="shared" si="52"/>
        <v>228305100</v>
      </c>
      <c r="U97" s="272">
        <f t="shared" si="52"/>
        <v>236295800</v>
      </c>
      <c r="V97" s="221"/>
    </row>
    <row r="98" spans="1:22">
      <c r="A98" s="645" t="s">
        <v>304</v>
      </c>
      <c r="B98" s="272">
        <f t="shared" ref="B98:U98" si="53">B13</f>
        <v>4916400</v>
      </c>
      <c r="C98" s="272">
        <f t="shared" si="53"/>
        <v>5088500</v>
      </c>
      <c r="D98" s="272">
        <f t="shared" si="53"/>
        <v>5266600</v>
      </c>
      <c r="E98" s="272">
        <f t="shared" si="53"/>
        <v>5450900</v>
      </c>
      <c r="F98" s="272">
        <f t="shared" si="53"/>
        <v>5641700</v>
      </c>
      <c r="G98" s="272">
        <f t="shared" si="53"/>
        <v>5839200</v>
      </c>
      <c r="H98" s="272">
        <f t="shared" si="53"/>
        <v>6043500</v>
      </c>
      <c r="I98" s="272">
        <f t="shared" si="53"/>
        <v>6255100</v>
      </c>
      <c r="J98" s="272">
        <f t="shared" si="53"/>
        <v>6474000</v>
      </c>
      <c r="K98" s="272">
        <f t="shared" si="53"/>
        <v>6700600</v>
      </c>
      <c r="L98" s="272">
        <f t="shared" si="53"/>
        <v>6935100</v>
      </c>
      <c r="M98" s="272">
        <f t="shared" si="53"/>
        <v>7177800</v>
      </c>
      <c r="N98" s="272">
        <f t="shared" si="53"/>
        <v>7429100</v>
      </c>
      <c r="O98" s="272">
        <f t="shared" si="53"/>
        <v>7689100</v>
      </c>
      <c r="P98" s="272">
        <f t="shared" si="53"/>
        <v>7958200</v>
      </c>
      <c r="Q98" s="272">
        <f t="shared" si="53"/>
        <v>8236700.0000000009</v>
      </c>
      <c r="R98" s="272">
        <f t="shared" si="53"/>
        <v>8525000</v>
      </c>
      <c r="S98" s="272">
        <f t="shared" si="53"/>
        <v>8823400</v>
      </c>
      <c r="T98" s="272">
        <f t="shared" si="53"/>
        <v>9132200</v>
      </c>
      <c r="U98" s="272">
        <f t="shared" si="53"/>
        <v>9451800</v>
      </c>
      <c r="V98" s="221"/>
    </row>
    <row r="99" spans="1:22">
      <c r="A99" s="471"/>
      <c r="B99" s="646">
        <f>B97-B98</f>
        <v>117994261.11111112</v>
      </c>
      <c r="C99" s="646">
        <f t="shared" ref="C99:U99" si="54">C97-C98</f>
        <v>122124000</v>
      </c>
      <c r="D99" s="646">
        <f t="shared" si="54"/>
        <v>126398300</v>
      </c>
      <c r="E99" s="646">
        <f t="shared" si="54"/>
        <v>130822300</v>
      </c>
      <c r="F99" s="646">
        <f t="shared" si="54"/>
        <v>135401100</v>
      </c>
      <c r="G99" s="646">
        <f t="shared" si="54"/>
        <v>140140100</v>
      </c>
      <c r="H99" s="646">
        <f t="shared" si="54"/>
        <v>145045100</v>
      </c>
      <c r="I99" s="646">
        <f t="shared" si="54"/>
        <v>150121600</v>
      </c>
      <c r="J99" s="646">
        <f t="shared" si="54"/>
        <v>155375900</v>
      </c>
      <c r="K99" s="646">
        <f t="shared" si="54"/>
        <v>160814000</v>
      </c>
      <c r="L99" s="646">
        <f t="shared" si="54"/>
        <v>166442500</v>
      </c>
      <c r="M99" s="646">
        <f t="shared" si="54"/>
        <v>172268000</v>
      </c>
      <c r="N99" s="646">
        <f t="shared" si="54"/>
        <v>178297300</v>
      </c>
      <c r="O99" s="646">
        <f t="shared" si="54"/>
        <v>184537700</v>
      </c>
      <c r="P99" s="646">
        <f t="shared" si="54"/>
        <v>190996500</v>
      </c>
      <c r="Q99" s="646">
        <f t="shared" si="54"/>
        <v>197681400</v>
      </c>
      <c r="R99" s="646">
        <f t="shared" si="54"/>
        <v>204600200</v>
      </c>
      <c r="S99" s="646">
        <f t="shared" si="54"/>
        <v>211761200</v>
      </c>
      <c r="T99" s="646">
        <f t="shared" si="54"/>
        <v>219172900</v>
      </c>
      <c r="U99" s="646">
        <f t="shared" si="54"/>
        <v>226844000</v>
      </c>
      <c r="V99" s="221"/>
    </row>
    <row r="100" spans="1:22">
      <c r="A100" s="645" t="s">
        <v>305</v>
      </c>
      <c r="B100" s="272">
        <f t="shared" ref="B100:U100" si="55">B15</f>
        <v>0</v>
      </c>
      <c r="C100" s="272">
        <f t="shared" si="55"/>
        <v>0</v>
      </c>
      <c r="D100" s="272">
        <f t="shared" si="55"/>
        <v>0</v>
      </c>
      <c r="E100" s="272">
        <f t="shared" si="55"/>
        <v>0</v>
      </c>
      <c r="F100" s="272">
        <f t="shared" si="55"/>
        <v>0</v>
      </c>
      <c r="G100" s="272">
        <f t="shared" si="55"/>
        <v>0</v>
      </c>
      <c r="H100" s="272">
        <f t="shared" si="55"/>
        <v>0</v>
      </c>
      <c r="I100" s="272">
        <f t="shared" si="55"/>
        <v>0</v>
      </c>
      <c r="J100" s="272">
        <f t="shared" si="55"/>
        <v>0</v>
      </c>
      <c r="K100" s="272">
        <f t="shared" si="55"/>
        <v>0</v>
      </c>
      <c r="L100" s="272">
        <f t="shared" si="55"/>
        <v>0</v>
      </c>
      <c r="M100" s="272">
        <f t="shared" si="55"/>
        <v>0</v>
      </c>
      <c r="N100" s="272">
        <f t="shared" si="55"/>
        <v>0</v>
      </c>
      <c r="O100" s="272">
        <f t="shared" si="55"/>
        <v>0</v>
      </c>
      <c r="P100" s="272">
        <f t="shared" si="55"/>
        <v>0</v>
      </c>
      <c r="Q100" s="272">
        <f t="shared" si="55"/>
        <v>0</v>
      </c>
      <c r="R100" s="272">
        <f t="shared" si="55"/>
        <v>0</v>
      </c>
      <c r="S100" s="272">
        <f t="shared" si="55"/>
        <v>0</v>
      </c>
      <c r="T100" s="272">
        <f t="shared" si="55"/>
        <v>0</v>
      </c>
      <c r="U100" s="272">
        <f t="shared" si="55"/>
        <v>0</v>
      </c>
      <c r="V100" s="221"/>
    </row>
    <row r="101" spans="1:22">
      <c r="A101" s="645" t="s">
        <v>306</v>
      </c>
      <c r="B101" s="646">
        <f>B99+B100</f>
        <v>117994261.11111112</v>
      </c>
      <c r="C101" s="646">
        <f t="shared" ref="C101:U101" si="56">C99+C100</f>
        <v>122124000</v>
      </c>
      <c r="D101" s="646">
        <f t="shared" si="56"/>
        <v>126398300</v>
      </c>
      <c r="E101" s="646">
        <f t="shared" si="56"/>
        <v>130822300</v>
      </c>
      <c r="F101" s="646">
        <f t="shared" si="56"/>
        <v>135401100</v>
      </c>
      <c r="G101" s="646">
        <f t="shared" si="56"/>
        <v>140140100</v>
      </c>
      <c r="H101" s="646">
        <f t="shared" si="56"/>
        <v>145045100</v>
      </c>
      <c r="I101" s="646">
        <f t="shared" si="56"/>
        <v>150121600</v>
      </c>
      <c r="J101" s="646">
        <f t="shared" si="56"/>
        <v>155375900</v>
      </c>
      <c r="K101" s="646">
        <f t="shared" si="56"/>
        <v>160814000</v>
      </c>
      <c r="L101" s="646">
        <f t="shared" si="56"/>
        <v>166442500</v>
      </c>
      <c r="M101" s="646">
        <f t="shared" si="56"/>
        <v>172268000</v>
      </c>
      <c r="N101" s="646">
        <f t="shared" si="56"/>
        <v>178297300</v>
      </c>
      <c r="O101" s="646">
        <f t="shared" si="56"/>
        <v>184537700</v>
      </c>
      <c r="P101" s="646">
        <f t="shared" si="56"/>
        <v>190996500</v>
      </c>
      <c r="Q101" s="646">
        <f t="shared" si="56"/>
        <v>197681400</v>
      </c>
      <c r="R101" s="646">
        <f t="shared" si="56"/>
        <v>204600200</v>
      </c>
      <c r="S101" s="646">
        <f t="shared" si="56"/>
        <v>211761200</v>
      </c>
      <c r="T101" s="646">
        <f t="shared" si="56"/>
        <v>219172900</v>
      </c>
      <c r="U101" s="646">
        <f t="shared" si="56"/>
        <v>226844000</v>
      </c>
      <c r="V101" s="221"/>
    </row>
    <row r="102" spans="1:22">
      <c r="A102" s="645"/>
      <c r="B102" s="221"/>
      <c r="C102" s="221"/>
      <c r="D102" s="221"/>
      <c r="E102" s="221"/>
      <c r="F102" s="221"/>
      <c r="G102" s="221"/>
      <c r="H102" s="221"/>
      <c r="I102" s="221"/>
      <c r="J102" s="221"/>
      <c r="K102" s="221"/>
      <c r="L102" s="471"/>
      <c r="M102" s="471"/>
      <c r="N102" s="471"/>
      <c r="O102" s="471"/>
      <c r="P102" s="471"/>
      <c r="Q102" s="471"/>
      <c r="R102" s="471"/>
      <c r="S102" s="471"/>
      <c r="T102" s="471"/>
      <c r="U102" s="471"/>
      <c r="V102" s="221"/>
    </row>
    <row r="103" spans="1:22">
      <c r="A103" s="271" t="s">
        <v>307</v>
      </c>
      <c r="B103" s="221"/>
      <c r="C103" s="221"/>
      <c r="D103" s="221"/>
      <c r="E103" s="221"/>
      <c r="F103" s="221"/>
      <c r="G103" s="221"/>
      <c r="H103" s="221"/>
      <c r="I103" s="221"/>
      <c r="J103" s="221"/>
      <c r="K103" s="221"/>
      <c r="L103" s="471"/>
      <c r="M103" s="471"/>
      <c r="N103" s="471"/>
      <c r="O103" s="471"/>
      <c r="P103" s="471"/>
      <c r="Q103" s="471"/>
      <c r="R103" s="471"/>
      <c r="S103" s="471"/>
      <c r="T103" s="471"/>
      <c r="U103" s="471"/>
      <c r="V103" s="221"/>
    </row>
    <row r="104" spans="1:22">
      <c r="A104" s="94" t="s">
        <v>571</v>
      </c>
      <c r="B104" s="200">
        <f t="shared" ref="B104:U104" si="57">B19</f>
        <v>5899713.055555556</v>
      </c>
      <c r="C104" s="200">
        <f t="shared" si="57"/>
        <v>6106200</v>
      </c>
      <c r="D104" s="200">
        <f t="shared" si="57"/>
        <v>6319915</v>
      </c>
      <c r="E104" s="200">
        <f t="shared" si="57"/>
        <v>6541115</v>
      </c>
      <c r="F104" s="200">
        <f t="shared" si="57"/>
        <v>6770055</v>
      </c>
      <c r="G104" s="200">
        <f t="shared" si="57"/>
        <v>7007005</v>
      </c>
      <c r="H104" s="200">
        <f t="shared" si="57"/>
        <v>7252255</v>
      </c>
      <c r="I104" s="200">
        <f t="shared" si="57"/>
        <v>7506080</v>
      </c>
      <c r="J104" s="200">
        <f t="shared" si="57"/>
        <v>7768795</v>
      </c>
      <c r="K104" s="200">
        <f t="shared" si="57"/>
        <v>8040700</v>
      </c>
      <c r="L104" s="200">
        <f t="shared" si="57"/>
        <v>8322125</v>
      </c>
      <c r="M104" s="200">
        <f t="shared" si="57"/>
        <v>8613400</v>
      </c>
      <c r="N104" s="200">
        <f t="shared" si="57"/>
        <v>8914865</v>
      </c>
      <c r="O104" s="200">
        <f t="shared" si="57"/>
        <v>9226885</v>
      </c>
      <c r="P104" s="200">
        <f t="shared" si="57"/>
        <v>9549825</v>
      </c>
      <c r="Q104" s="200">
        <f t="shared" si="57"/>
        <v>9884070</v>
      </c>
      <c r="R104" s="200">
        <f t="shared" si="57"/>
        <v>10230010</v>
      </c>
      <c r="S104" s="200">
        <f t="shared" si="57"/>
        <v>10588060</v>
      </c>
      <c r="T104" s="200">
        <f t="shared" si="57"/>
        <v>10958645</v>
      </c>
      <c r="U104" s="200">
        <f t="shared" si="57"/>
        <v>11342200</v>
      </c>
    </row>
    <row r="105" spans="1:22">
      <c r="A105" s="94" t="s">
        <v>160</v>
      </c>
      <c r="B105" s="200">
        <f t="shared" ref="B105:U105" si="58">B20</f>
        <v>6920000</v>
      </c>
      <c r="C105" s="200">
        <f t="shared" si="58"/>
        <v>7162199.9999999991</v>
      </c>
      <c r="D105" s="200">
        <f t="shared" si="58"/>
        <v>7412876.9999999981</v>
      </c>
      <c r="E105" s="200">
        <f t="shared" si="58"/>
        <v>7672327.6949999975</v>
      </c>
      <c r="F105" s="200">
        <f t="shared" si="58"/>
        <v>7940859.164324997</v>
      </c>
      <c r="G105" s="200">
        <f t="shared" si="58"/>
        <v>8218789.2350763716</v>
      </c>
      <c r="H105" s="200">
        <f t="shared" si="58"/>
        <v>8506446.8583040442</v>
      </c>
      <c r="I105" s="200">
        <f t="shared" si="58"/>
        <v>8804172.4983446859</v>
      </c>
      <c r="J105" s="200">
        <f t="shared" si="58"/>
        <v>9112318.5357867498</v>
      </c>
      <c r="K105" s="200">
        <f t="shared" si="58"/>
        <v>9431249.6845392846</v>
      </c>
      <c r="L105" s="200">
        <f t="shared" si="58"/>
        <v>9761343.4234981593</v>
      </c>
      <c r="M105" s="200">
        <f t="shared" si="58"/>
        <v>10102990.443320595</v>
      </c>
      <c r="N105" s="200">
        <f t="shared" si="58"/>
        <v>10456595.108836815</v>
      </c>
      <c r="O105" s="200">
        <f t="shared" si="58"/>
        <v>10822575.937646102</v>
      </c>
      <c r="P105" s="200">
        <f t="shared" si="58"/>
        <v>11201366.095463715</v>
      </c>
      <c r="Q105" s="200">
        <f t="shared" si="58"/>
        <v>11593413.908804944</v>
      </c>
      <c r="R105" s="200">
        <f t="shared" si="58"/>
        <v>11999183.395613115</v>
      </c>
      <c r="S105" s="200">
        <f t="shared" si="58"/>
        <v>12419154.814459573</v>
      </c>
      <c r="T105" s="200">
        <f t="shared" si="58"/>
        <v>12853825.232965657</v>
      </c>
      <c r="U105" s="200">
        <f t="shared" si="58"/>
        <v>13303709.116119454</v>
      </c>
    </row>
    <row r="106" spans="1:22">
      <c r="A106" s="94" t="s">
        <v>161</v>
      </c>
      <c r="B106" s="200">
        <f t="shared" ref="B106:U106" si="59">B21</f>
        <v>7040000.0000000009</v>
      </c>
      <c r="C106" s="200">
        <f t="shared" si="59"/>
        <v>7286400</v>
      </c>
      <c r="D106" s="200">
        <f t="shared" si="59"/>
        <v>7541423.9999999991</v>
      </c>
      <c r="E106" s="200">
        <f t="shared" si="59"/>
        <v>7805373.839999998</v>
      </c>
      <c r="F106" s="200">
        <f t="shared" si="59"/>
        <v>8078561.9243999971</v>
      </c>
      <c r="G106" s="200">
        <f t="shared" si="59"/>
        <v>8361311.591753996</v>
      </c>
      <c r="H106" s="200">
        <f t="shared" si="59"/>
        <v>8653957.4974653851</v>
      </c>
      <c r="I106" s="200">
        <f t="shared" si="59"/>
        <v>8956846.0098766722</v>
      </c>
      <c r="J106" s="200">
        <f t="shared" si="59"/>
        <v>9270335.6202223543</v>
      </c>
      <c r="K106" s="200">
        <f t="shared" si="59"/>
        <v>9594797.3669301365</v>
      </c>
      <c r="L106" s="200">
        <f t="shared" si="59"/>
        <v>9930615.2747726906</v>
      </c>
      <c r="M106" s="200">
        <f t="shared" si="59"/>
        <v>10278186.809389735</v>
      </c>
      <c r="N106" s="200">
        <f t="shared" si="59"/>
        <v>10637923.347718375</v>
      </c>
      <c r="O106" s="200">
        <f t="shared" si="59"/>
        <v>11010250.664888518</v>
      </c>
      <c r="P106" s="200">
        <f t="shared" si="59"/>
        <v>11395609.438159615</v>
      </c>
      <c r="Q106" s="200">
        <f t="shared" si="59"/>
        <v>11794455.7684952</v>
      </c>
      <c r="R106" s="200">
        <f t="shared" si="59"/>
        <v>12207261.720392531</v>
      </c>
      <c r="S106" s="200">
        <f t="shared" si="59"/>
        <v>12634515.880606268</v>
      </c>
      <c r="T106" s="200">
        <f t="shared" si="59"/>
        <v>13076723.936427485</v>
      </c>
      <c r="U106" s="200">
        <f t="shared" si="59"/>
        <v>13534409.274202446</v>
      </c>
    </row>
    <row r="107" spans="1:22">
      <c r="A107" s="273" t="s">
        <v>162</v>
      </c>
      <c r="B107" s="473">
        <f t="shared" ref="B107:U107" si="60">B22-C445</f>
        <v>10645440</v>
      </c>
      <c r="C107" s="473">
        <f t="shared" ca="1" si="60"/>
        <v>10671269.4816</v>
      </c>
      <c r="D107" s="473">
        <f t="shared" ca="1" si="60"/>
        <v>10815095.325215999</v>
      </c>
      <c r="E107" s="473">
        <f t="shared" ca="1" si="60"/>
        <v>10961101.690244161</v>
      </c>
      <c r="F107" s="473">
        <f t="shared" ca="1" si="60"/>
        <v>11109325.227158122</v>
      </c>
      <c r="G107" s="473">
        <f t="shared" ca="1" si="60"/>
        <v>11259803.249841455</v>
      </c>
      <c r="H107" s="473">
        <f t="shared" ca="1" si="60"/>
        <v>11331623.240534363</v>
      </c>
      <c r="I107" s="473">
        <f t="shared" ca="1" si="60"/>
        <v>11485915.388076095</v>
      </c>
      <c r="J107" s="473">
        <f t="shared" ca="1" si="60"/>
        <v>11642569.97539597</v>
      </c>
      <c r="K107" s="473">
        <f t="shared" ca="1" si="60"/>
        <v>11801627.017257825</v>
      </c>
      <c r="L107" s="473">
        <f t="shared" ca="1" si="60"/>
        <v>11963127.256380454</v>
      </c>
      <c r="M107" s="473">
        <f t="shared" ca="1" si="60"/>
        <v>12103908.596252836</v>
      </c>
      <c r="N107" s="473">
        <f t="shared" ca="1" si="60"/>
        <v>12270188.403510999</v>
      </c>
      <c r="O107" s="473">
        <f t="shared" ca="1" si="60"/>
        <v>12439035.823267657</v>
      </c>
      <c r="P107" s="473">
        <f t="shared" ca="1" si="60"/>
        <v>12610494.627936311</v>
      </c>
      <c r="Q107" s="473">
        <f t="shared" ca="1" si="60"/>
        <v>12784609.389580375</v>
      </c>
      <c r="R107" s="473">
        <f t="shared" ca="1" si="60"/>
        <v>12961425.495148171</v>
      </c>
      <c r="S107" s="473">
        <f t="shared" ca="1" si="60"/>
        <v>13140989.162005085</v>
      </c>
      <c r="T107" s="473">
        <f t="shared" ca="1" si="60"/>
        <v>13323347.453768674</v>
      </c>
      <c r="U107" s="473">
        <f t="shared" ca="1" si="60"/>
        <v>13508548.296452774</v>
      </c>
    </row>
    <row r="108" spans="1:22" s="471" customFormat="1">
      <c r="A108" s="571" t="s">
        <v>580</v>
      </c>
      <c r="B108" s="575">
        <f>B428*'Building Info &amp; Assumptions'!$B$119*(1+'Building Info &amp; Assumptions'!$B$120)^B96</f>
        <v>0</v>
      </c>
      <c r="C108" s="575">
        <f>C428*'Building Info &amp; Assumptions'!$B$119*(1+'Building Info &amp; Assumptions'!$B$120)^C96</f>
        <v>0</v>
      </c>
      <c r="D108" s="575">
        <f>D428*'Building Info &amp; Assumptions'!$B$119*(1+'Building Info &amp; Assumptions'!$B$120)^D96</f>
        <v>0</v>
      </c>
      <c r="E108" s="575">
        <f ca="1">E428*'Building Info &amp; Assumptions'!$B$119*(1+'Building Info &amp; Assumptions'!$B$120)^E96</f>
        <v>71089.157925987369</v>
      </c>
      <c r="F108" s="575">
        <f ca="1">F428*'Building Info &amp; Assumptions'!$B$119*(1+'Building Info &amp; Assumptions'!$B$120)^F96</f>
        <v>31850.184488498577</v>
      </c>
      <c r="G108" s="575">
        <f ca="1">G428*'Building Info &amp; Assumptions'!$B$119*(1+'Building Info &amp; Assumptions'!$B$120)^G96</f>
        <v>4837.8736929825664</v>
      </c>
      <c r="H108" s="575">
        <f ca="1">H428*'Building Info &amp; Assumptions'!$B$119*(1+'Building Info &amp; Assumptions'!$B$120)^H96</f>
        <v>0</v>
      </c>
      <c r="I108" s="575">
        <f ca="1">I428*'Building Info &amp; Assumptions'!$B$119*(1+'Building Info &amp; Assumptions'!$B$120)^I96</f>
        <v>0</v>
      </c>
      <c r="J108" s="575">
        <f ca="1">J428*'Building Info &amp; Assumptions'!$B$119*(1+'Building Info &amp; Assumptions'!$B$120)^J96</f>
        <v>0</v>
      </c>
      <c r="K108" s="575">
        <f ca="1">K428*'Building Info &amp; Assumptions'!$B$119*(1+'Building Info &amp; Assumptions'!$B$120)^K96</f>
        <v>84878.817205565851</v>
      </c>
      <c r="L108" s="575">
        <f ca="1">L428*'Building Info &amp; Assumptions'!$B$119*(1+'Building Info &amp; Assumptions'!$B$120)^L96</f>
        <v>71481.767277050574</v>
      </c>
      <c r="M108" s="575">
        <f ca="1">M428*'Building Info &amp; Assumptions'!$B$119*(1+'Building Info &amp; Assumptions'!$B$120)^M96</f>
        <v>57514.883824512595</v>
      </c>
      <c r="N108" s="575">
        <f ca="1">N428*'Building Info &amp; Assumptions'!$B$119*(1+'Building Info &amp; Assumptions'!$B$120)^N96</f>
        <v>42625.235447354062</v>
      </c>
      <c r="O108" s="575">
        <f ca="1">O428*'Building Info &amp; Assumptions'!$B$119*(1+'Building Info &amp; Assumptions'!$B$120)^O96</f>
        <v>27508.088686951207</v>
      </c>
      <c r="P108" s="575">
        <f ca="1">P428*'Building Info &amp; Assumptions'!$B$119*(1+'Building Info &amp; Assumptions'!$B$120)^P96</f>
        <v>242417.39244225094</v>
      </c>
      <c r="Q108" s="575">
        <f ca="1">Q428*'Building Info &amp; Assumptions'!$B$119*(1+'Building Info &amp; Assumptions'!$B$120)^Q96</f>
        <v>230650.91490238433</v>
      </c>
      <c r="R108" s="575">
        <f ca="1">R428*'Building Info &amp; Assumptions'!$B$119*(1+'Building Info &amp; Assumptions'!$B$120)^R96</f>
        <v>218316.81130394607</v>
      </c>
      <c r="S108" s="575">
        <f ca="1">S428*'Building Info &amp; Assumptions'!$B$119*(1+'Building Info &amp; Assumptions'!$B$120)^S96</f>
        <v>205397.08319560933</v>
      </c>
      <c r="T108" s="575">
        <f ca="1">T428*'Building Info &amp; Assumptions'!$B$119*(1+'Building Info &amp; Assumptions'!$B$120)^T96</f>
        <v>191873.23923841759</v>
      </c>
      <c r="U108" s="575">
        <f ca="1">U428*'Building Info &amp; Assumptions'!$B$119*(1+'Building Info &amp; Assumptions'!$B$120)^U96</f>
        <v>177726.28268965994</v>
      </c>
    </row>
    <row r="109" spans="1:22" s="471" customFormat="1">
      <c r="A109" s="571" t="s">
        <v>581</v>
      </c>
      <c r="B109" s="272">
        <f>B408</f>
        <v>0</v>
      </c>
      <c r="C109" s="272">
        <f t="shared" ref="C109:U109" si="61">C408</f>
        <v>0</v>
      </c>
      <c r="D109" s="272">
        <f t="shared" si="61"/>
        <v>0</v>
      </c>
      <c r="E109" s="272">
        <f t="shared" si="61"/>
        <v>0</v>
      </c>
      <c r="F109" s="272">
        <f t="shared" si="61"/>
        <v>0</v>
      </c>
      <c r="G109" s="272">
        <f t="shared" si="61"/>
        <v>0</v>
      </c>
      <c r="H109" s="272">
        <f t="shared" si="61"/>
        <v>0</v>
      </c>
      <c r="I109" s="272">
        <f t="shared" si="61"/>
        <v>0</v>
      </c>
      <c r="J109" s="272">
        <f t="shared" si="61"/>
        <v>0</v>
      </c>
      <c r="K109" s="272">
        <f t="shared" si="61"/>
        <v>0</v>
      </c>
      <c r="L109" s="272">
        <f t="shared" si="61"/>
        <v>0</v>
      </c>
      <c r="M109" s="272">
        <f t="shared" si="61"/>
        <v>0</v>
      </c>
      <c r="N109" s="272">
        <f t="shared" si="61"/>
        <v>0</v>
      </c>
      <c r="O109" s="272">
        <f t="shared" si="61"/>
        <v>0</v>
      </c>
      <c r="P109" s="272">
        <f t="shared" si="61"/>
        <v>0</v>
      </c>
      <c r="Q109" s="272">
        <f t="shared" si="61"/>
        <v>0</v>
      </c>
      <c r="R109" s="272">
        <f t="shared" si="61"/>
        <v>0</v>
      </c>
      <c r="S109" s="272">
        <f t="shared" si="61"/>
        <v>0</v>
      </c>
      <c r="T109" s="272">
        <f t="shared" si="61"/>
        <v>0</v>
      </c>
      <c r="U109" s="272">
        <f t="shared" si="61"/>
        <v>0</v>
      </c>
    </row>
    <row r="110" spans="1:22">
      <c r="A110" s="219" t="s">
        <v>163</v>
      </c>
      <c r="B110" s="473">
        <f t="shared" ref="B110:U110" si="62">B23</f>
        <v>7040000.0000000009</v>
      </c>
      <c r="C110" s="473">
        <f t="shared" si="62"/>
        <v>7286400</v>
      </c>
      <c r="D110" s="473">
        <f t="shared" si="62"/>
        <v>7541423.9999999991</v>
      </c>
      <c r="E110" s="473">
        <f t="shared" si="62"/>
        <v>7805373.839999998</v>
      </c>
      <c r="F110" s="473">
        <f t="shared" si="62"/>
        <v>8078561.9243999971</v>
      </c>
      <c r="G110" s="473">
        <f t="shared" si="62"/>
        <v>8361311.591753996</v>
      </c>
      <c r="H110" s="473">
        <f t="shared" si="62"/>
        <v>8653957.4974653851</v>
      </c>
      <c r="I110" s="473">
        <f t="shared" si="62"/>
        <v>8956846.0098766722</v>
      </c>
      <c r="J110" s="473">
        <f t="shared" si="62"/>
        <v>9270335.6202223543</v>
      </c>
      <c r="K110" s="473">
        <f t="shared" si="62"/>
        <v>9594797.3669301365</v>
      </c>
      <c r="L110" s="473">
        <f t="shared" si="62"/>
        <v>9930615.2747726906</v>
      </c>
      <c r="M110" s="473">
        <f t="shared" si="62"/>
        <v>10278186.809389735</v>
      </c>
      <c r="N110" s="473">
        <f t="shared" si="62"/>
        <v>10637923.347718375</v>
      </c>
      <c r="O110" s="473">
        <f t="shared" si="62"/>
        <v>11010250.664888518</v>
      </c>
      <c r="P110" s="473">
        <f t="shared" si="62"/>
        <v>11395609.438159615</v>
      </c>
      <c r="Q110" s="473">
        <f t="shared" si="62"/>
        <v>11794455.7684952</v>
      </c>
      <c r="R110" s="473">
        <f t="shared" si="62"/>
        <v>12207261.720392531</v>
      </c>
      <c r="S110" s="473">
        <f t="shared" si="62"/>
        <v>12634515.880606268</v>
      </c>
      <c r="T110" s="473">
        <f t="shared" si="62"/>
        <v>13076723.936427485</v>
      </c>
      <c r="U110" s="473">
        <f t="shared" si="62"/>
        <v>13534409.274202446</v>
      </c>
    </row>
    <row r="111" spans="1:22">
      <c r="A111" s="94" t="s">
        <v>164</v>
      </c>
      <c r="B111" s="473">
        <f t="shared" ref="B111:U111" si="63">B24</f>
        <v>6680000</v>
      </c>
      <c r="C111" s="473">
        <f t="shared" si="63"/>
        <v>6913799.9999999991</v>
      </c>
      <c r="D111" s="473">
        <f t="shared" si="63"/>
        <v>7155782.9999999981</v>
      </c>
      <c r="E111" s="473">
        <f t="shared" si="63"/>
        <v>7406235.4049999975</v>
      </c>
      <c r="F111" s="473">
        <f t="shared" si="63"/>
        <v>7665453.6441749968</v>
      </c>
      <c r="G111" s="473">
        <f t="shared" si="63"/>
        <v>7933744.5217211209</v>
      </c>
      <c r="H111" s="473">
        <f t="shared" si="63"/>
        <v>8211425.5799813597</v>
      </c>
      <c r="I111" s="473">
        <f t="shared" si="63"/>
        <v>8498825.4752807058</v>
      </c>
      <c r="J111" s="473">
        <f t="shared" si="63"/>
        <v>8796284.3669155296</v>
      </c>
      <c r="K111" s="473">
        <f t="shared" si="63"/>
        <v>9104154.3197575733</v>
      </c>
      <c r="L111" s="473">
        <f t="shared" si="63"/>
        <v>9422799.7209490873</v>
      </c>
      <c r="M111" s="473">
        <f t="shared" si="63"/>
        <v>9752597.7111823037</v>
      </c>
      <c r="N111" s="473">
        <f t="shared" si="63"/>
        <v>10093938.631073684</v>
      </c>
      <c r="O111" s="473">
        <f t="shared" si="63"/>
        <v>10447226.483161261</v>
      </c>
      <c r="P111" s="473">
        <f t="shared" si="63"/>
        <v>10812879.410071904</v>
      </c>
      <c r="Q111" s="473">
        <f t="shared" si="63"/>
        <v>11191330.18942442</v>
      </c>
      <c r="R111" s="473">
        <f t="shared" si="63"/>
        <v>11583026.746054273</v>
      </c>
      <c r="S111" s="473">
        <f t="shared" si="63"/>
        <v>11988432.682166172</v>
      </c>
      <c r="T111" s="473">
        <f t="shared" si="63"/>
        <v>12408027.826041987</v>
      </c>
      <c r="U111" s="473">
        <f t="shared" si="63"/>
        <v>12842308.799953455</v>
      </c>
    </row>
    <row r="112" spans="1:22">
      <c r="A112" s="94" t="s">
        <v>165</v>
      </c>
      <c r="B112" s="473">
        <f t="shared" ref="B112:U112" si="64">B25</f>
        <v>2279999.9999999995</v>
      </c>
      <c r="C112" s="473">
        <f t="shared" si="64"/>
        <v>2359799.9999999995</v>
      </c>
      <c r="D112" s="473">
        <f t="shared" si="64"/>
        <v>2442392.9999999995</v>
      </c>
      <c r="E112" s="473">
        <f t="shared" si="64"/>
        <v>2527876.7549999994</v>
      </c>
      <c r="F112" s="473">
        <f t="shared" si="64"/>
        <v>2616352.4414249994</v>
      </c>
      <c r="G112" s="473">
        <f t="shared" si="64"/>
        <v>2707924.7768748743</v>
      </c>
      <c r="H112" s="473">
        <f t="shared" si="64"/>
        <v>2802702.1440654946</v>
      </c>
      <c r="I112" s="473">
        <f t="shared" si="64"/>
        <v>2900796.7191077867</v>
      </c>
      <c r="J112" s="473">
        <f t="shared" si="64"/>
        <v>3002324.6042765588</v>
      </c>
      <c r="K112" s="473">
        <f t="shared" si="64"/>
        <v>3107405.9654262383</v>
      </c>
      <c r="L112" s="473">
        <f t="shared" si="64"/>
        <v>3216165.1742161564</v>
      </c>
      <c r="M112" s="473">
        <f t="shared" si="64"/>
        <v>3328730.9553137217</v>
      </c>
      <c r="N112" s="473">
        <f t="shared" si="64"/>
        <v>3445236.5387497018</v>
      </c>
      <c r="O112" s="473">
        <f t="shared" si="64"/>
        <v>3565819.8176059411</v>
      </c>
      <c r="P112" s="473">
        <f t="shared" si="64"/>
        <v>3690623.5112221488</v>
      </c>
      <c r="Q112" s="473">
        <f t="shared" si="64"/>
        <v>3819795.3341149236</v>
      </c>
      <c r="R112" s="473">
        <f t="shared" si="64"/>
        <v>3953488.1708089458</v>
      </c>
      <c r="S112" s="473">
        <f t="shared" si="64"/>
        <v>4091860.2567872587</v>
      </c>
      <c r="T112" s="473">
        <f t="shared" si="64"/>
        <v>4235075.3657748122</v>
      </c>
      <c r="U112" s="473">
        <f t="shared" si="64"/>
        <v>4383303.0035769306</v>
      </c>
    </row>
    <row r="113" spans="1:21">
      <c r="A113" s="94" t="s">
        <v>166</v>
      </c>
      <c r="B113" s="473">
        <f t="shared" ref="B113:U113" si="65">B26</f>
        <v>2900000</v>
      </c>
      <c r="C113" s="473">
        <f t="shared" si="65"/>
        <v>3001500</v>
      </c>
      <c r="D113" s="473">
        <f t="shared" si="65"/>
        <v>3106552.4999999995</v>
      </c>
      <c r="E113" s="473">
        <f t="shared" si="65"/>
        <v>3215281.8374999994</v>
      </c>
      <c r="F113" s="473">
        <f t="shared" si="65"/>
        <v>3327816.7018124992</v>
      </c>
      <c r="G113" s="473">
        <f t="shared" si="65"/>
        <v>3444290.2863759366</v>
      </c>
      <c r="H113" s="473">
        <f t="shared" si="65"/>
        <v>3564840.4463990941</v>
      </c>
      <c r="I113" s="473">
        <f t="shared" si="65"/>
        <v>3689609.8620230621</v>
      </c>
      <c r="J113" s="473">
        <f t="shared" si="65"/>
        <v>3818746.2071938692</v>
      </c>
      <c r="K113" s="473">
        <f t="shared" si="65"/>
        <v>3952402.3244456542</v>
      </c>
      <c r="L113" s="473">
        <f t="shared" si="65"/>
        <v>4090736.4058012515</v>
      </c>
      <c r="M113" s="473">
        <f t="shared" si="65"/>
        <v>4233912.180004295</v>
      </c>
      <c r="N113" s="473">
        <f t="shared" si="65"/>
        <v>4382099.1063044453</v>
      </c>
      <c r="O113" s="473">
        <f t="shared" si="65"/>
        <v>4535472.5750251003</v>
      </c>
      <c r="P113" s="473">
        <f t="shared" si="65"/>
        <v>4694214.1151509788</v>
      </c>
      <c r="Q113" s="473">
        <f t="shared" si="65"/>
        <v>4858511.6091812626</v>
      </c>
      <c r="R113" s="473">
        <f t="shared" si="65"/>
        <v>5028559.5155026065</v>
      </c>
      <c r="S113" s="473">
        <f t="shared" si="65"/>
        <v>5204559.0985451974</v>
      </c>
      <c r="T113" s="473">
        <f t="shared" si="65"/>
        <v>5386718.6669942793</v>
      </c>
      <c r="U113" s="473">
        <f t="shared" si="65"/>
        <v>5575253.820339079</v>
      </c>
    </row>
    <row r="114" spans="1:21">
      <c r="A114" s="94" t="s">
        <v>572</v>
      </c>
      <c r="B114" s="200">
        <f>+'Building Info &amp; Assumptions'!B$409</f>
        <v>0</v>
      </c>
      <c r="C114" s="200">
        <f>+'Building Info &amp; Assumptions'!C$409</f>
        <v>0</v>
      </c>
      <c r="D114" s="200">
        <f>+'Building Info &amp; Assumptions'!D$409</f>
        <v>0</v>
      </c>
      <c r="E114" s="200">
        <f>+'Building Info &amp; Assumptions'!E$409</f>
        <v>0</v>
      </c>
      <c r="F114" s="200">
        <f>+'Building Info &amp; Assumptions'!F$409</f>
        <v>0</v>
      </c>
      <c r="G114" s="200">
        <f>+'Building Info &amp; Assumptions'!G$409</f>
        <v>0</v>
      </c>
      <c r="H114" s="200">
        <f>+'Building Info &amp; Assumptions'!H$409</f>
        <v>0</v>
      </c>
      <c r="I114" s="200">
        <f>+'Building Info &amp; Assumptions'!I$409</f>
        <v>0</v>
      </c>
      <c r="J114" s="200">
        <f>+'Building Info &amp; Assumptions'!J$409</f>
        <v>0</v>
      </c>
      <c r="K114" s="200">
        <f>+'Building Info &amp; Assumptions'!K$409</f>
        <v>0</v>
      </c>
      <c r="L114" s="200">
        <f>+'Building Info &amp; Assumptions'!L$409</f>
        <v>0</v>
      </c>
      <c r="M114" s="200">
        <f>+'Building Info &amp; Assumptions'!M$409</f>
        <v>0</v>
      </c>
      <c r="N114" s="200">
        <f>+'Building Info &amp; Assumptions'!N$409</f>
        <v>0</v>
      </c>
      <c r="O114" s="200">
        <f>+'Building Info &amp; Assumptions'!O$409</f>
        <v>0</v>
      </c>
      <c r="P114" s="200">
        <f>+'Building Info &amp; Assumptions'!P$409</f>
        <v>0</v>
      </c>
      <c r="Q114" s="200">
        <f>+'Building Info &amp; Assumptions'!Q$409</f>
        <v>0</v>
      </c>
      <c r="R114" s="200">
        <f>+'Building Info &amp; Assumptions'!R$409</f>
        <v>0</v>
      </c>
      <c r="S114" s="200">
        <f>+'Building Info &amp; Assumptions'!S$409</f>
        <v>0</v>
      </c>
      <c r="T114" s="200">
        <f>+'Building Info &amp; Assumptions'!T$409</f>
        <v>0</v>
      </c>
      <c r="U114" s="200">
        <f>+'Building Info &amp; Assumptions'!U$409</f>
        <v>0</v>
      </c>
    </row>
    <row r="115" spans="1:21">
      <c r="A115" s="274" t="s">
        <v>6</v>
      </c>
      <c r="B115" s="473">
        <f t="shared" ref="B115:U115" si="66">B28+B108+B109</f>
        <v>0</v>
      </c>
      <c r="C115" s="473">
        <f t="shared" ca="1" si="66"/>
        <v>0</v>
      </c>
      <c r="D115" s="473">
        <f t="shared" si="66"/>
        <v>0</v>
      </c>
      <c r="E115" s="473">
        <f t="shared" ca="1" si="66"/>
        <v>71089.157925987369</v>
      </c>
      <c r="F115" s="473">
        <f t="shared" ca="1" si="66"/>
        <v>31850.184488498577</v>
      </c>
      <c r="G115" s="473">
        <f t="shared" ca="1" si="66"/>
        <v>4837.8736929825664</v>
      </c>
      <c r="H115" s="473">
        <f t="shared" ca="1" si="66"/>
        <v>0</v>
      </c>
      <c r="I115" s="473">
        <f t="shared" ca="1" si="66"/>
        <v>0</v>
      </c>
      <c r="J115" s="473">
        <f t="shared" ca="1" si="66"/>
        <v>0</v>
      </c>
      <c r="K115" s="473">
        <f t="shared" ca="1" si="66"/>
        <v>84878.817205565851</v>
      </c>
      <c r="L115" s="473">
        <f t="shared" ca="1" si="66"/>
        <v>71481.767277050574</v>
      </c>
      <c r="M115" s="473">
        <f t="shared" ca="1" si="66"/>
        <v>57514.883824512595</v>
      </c>
      <c r="N115" s="473">
        <f t="shared" ca="1" si="66"/>
        <v>42625.235447354062</v>
      </c>
      <c r="O115" s="473">
        <f t="shared" ca="1" si="66"/>
        <v>27508.088686951207</v>
      </c>
      <c r="P115" s="473">
        <f t="shared" ca="1" si="66"/>
        <v>242417.39244225094</v>
      </c>
      <c r="Q115" s="473">
        <f t="shared" ca="1" si="66"/>
        <v>230650.91490238433</v>
      </c>
      <c r="R115" s="473">
        <f t="shared" ca="1" si="66"/>
        <v>218316.81130394607</v>
      </c>
      <c r="S115" s="473">
        <f t="shared" ca="1" si="66"/>
        <v>205397.08319560933</v>
      </c>
      <c r="T115" s="473">
        <f t="shared" ca="1" si="66"/>
        <v>191873.23923841759</v>
      </c>
      <c r="U115" s="473">
        <f t="shared" ca="1" si="66"/>
        <v>177726.28268965994</v>
      </c>
    </row>
    <row r="116" spans="1:21">
      <c r="A116" s="271" t="s">
        <v>5</v>
      </c>
      <c r="B116" s="473">
        <f t="shared" ref="B116:U116" si="67">B29</f>
        <v>0</v>
      </c>
      <c r="C116" s="473">
        <f t="shared" ca="1" si="67"/>
        <v>7607300</v>
      </c>
      <c r="D116" s="473">
        <f t="shared" si="67"/>
        <v>0</v>
      </c>
      <c r="E116" s="473">
        <f t="shared" si="67"/>
        <v>0</v>
      </c>
      <c r="F116" s="473">
        <f t="shared" si="67"/>
        <v>0</v>
      </c>
      <c r="G116" s="473">
        <f t="shared" si="67"/>
        <v>0</v>
      </c>
      <c r="H116" s="473">
        <f t="shared" ca="1" si="67"/>
        <v>7006800</v>
      </c>
      <c r="I116" s="473">
        <f t="shared" si="67"/>
        <v>0</v>
      </c>
      <c r="J116" s="473">
        <f t="shared" si="67"/>
        <v>0</v>
      </c>
      <c r="K116" s="473">
        <f t="shared" si="67"/>
        <v>0</v>
      </c>
      <c r="L116" s="473">
        <f t="shared" si="67"/>
        <v>0</v>
      </c>
      <c r="M116" s="473">
        <f t="shared" ca="1" si="67"/>
        <v>4379900</v>
      </c>
      <c r="N116" s="473">
        <f t="shared" si="67"/>
        <v>0</v>
      </c>
      <c r="O116" s="473">
        <f t="shared" si="67"/>
        <v>0</v>
      </c>
      <c r="P116" s="473">
        <f t="shared" si="67"/>
        <v>0</v>
      </c>
      <c r="Q116" s="473">
        <f t="shared" si="67"/>
        <v>0</v>
      </c>
      <c r="R116" s="473">
        <f t="shared" ca="1" si="67"/>
        <v>0</v>
      </c>
      <c r="S116" s="473">
        <f t="shared" si="67"/>
        <v>0</v>
      </c>
      <c r="T116" s="473">
        <f t="shared" si="67"/>
        <v>0</v>
      </c>
      <c r="U116" s="473">
        <f t="shared" si="67"/>
        <v>0</v>
      </c>
    </row>
    <row r="117" spans="1:21">
      <c r="A117" s="110"/>
    </row>
    <row r="118" spans="1:21" s="110" customFormat="1">
      <c r="A118" s="571" t="s">
        <v>573</v>
      </c>
      <c r="B118" s="220">
        <f>SUMIFS(Alternatives!$D$15:$D$17,Alternatives!$I$15:$I$17,B96,Alternatives!$H$15:$H$17,"Yes")+SUMIFS(Alternatives!$D$20:$D$27,Alternatives!$I$20:$I$27,B96,Alternatives!$H$20:$H$27,"Yes")</f>
        <v>0</v>
      </c>
      <c r="C118" s="220">
        <f>(SUMIFS(Alternatives!$D$15:$D$17,Alternatives!$I$15:$I$17,C96,Alternatives!$H$15:$H$17,"Yes")+SUMIFS(Alternatives!$D$20:$D$27,Alternatives!$I$20:$I$27,C96,Alternatives!$H$20:$H$27,"Yes"))*(1+'Building Info &amp; Assumptions'!$E$77)^B96</f>
        <v>0</v>
      </c>
      <c r="D118" s="220">
        <f>(SUMIFS(Alternatives!$D$15:$D$17,Alternatives!$I$15:$I$17,D96,Alternatives!$H$15:$H$17,"Yes")+SUMIFS(Alternatives!$D$20:$D$27,Alternatives!$I$20:$I$27,D96,Alternatives!$H$20:$H$27,"Yes"))*(1+'Building Info &amp; Assumptions'!$E$77)^C96</f>
        <v>0</v>
      </c>
      <c r="E118" s="220">
        <f>(SUMIFS(Alternatives!$D$15:$D$17,Alternatives!$I$15:$I$17,E96,Alternatives!$H$15:$H$17,"Yes")+SUMIFS(Alternatives!$D$20:$D$27,Alternatives!$I$20:$I$27,E96,Alternatives!$H$20:$H$27,"Yes"))*(1+'Building Info &amp; Assumptions'!$E$77)^D96</f>
        <v>0</v>
      </c>
      <c r="F118" s="220">
        <f>(SUMIFS(Alternatives!$D$15:$D$17,Alternatives!$I$15:$I$17,F96,Alternatives!$H$15:$H$17,"Yes")+SUMIFS(Alternatives!$D$20:$D$27,Alternatives!$I$20:$I$27,F96,Alternatives!$H$20:$H$27,"Yes"))*(1+'Building Info &amp; Assumptions'!$E$77)^E96</f>
        <v>0</v>
      </c>
      <c r="G118" s="220">
        <f>(SUMIFS(Alternatives!$D$15:$D$17,Alternatives!$I$15:$I$17,G96,Alternatives!$H$15:$H$17,"Yes")+SUMIFS(Alternatives!$D$20:$D$27,Alternatives!$I$20:$I$27,G96,Alternatives!$H$20:$H$27,"Yes"))*(1+'Building Info &amp; Assumptions'!$E$77)^F96</f>
        <v>0</v>
      </c>
      <c r="H118" s="220">
        <f ca="1">(SUMIFS(Alternatives!$D$15:$D$17,Alternatives!$I$15:$I$17,H96,Alternatives!$H$15:$H$17,"Yes")+SUMIFS(Alternatives!$D$20:$D$27,Alternatives!$I$20:$I$27,H96,Alternatives!$H$20:$H$27,"Yes"))*(1+'Building Info &amp; Assumptions'!$E$77)^G96</f>
        <v>92813.69416031627</v>
      </c>
      <c r="I118" s="220">
        <f>(SUMIFS(Alternatives!$D$15:$D$17,Alternatives!$I$15:$I$17,I96,Alternatives!$H$15:$H$17,"Yes")+SUMIFS(Alternatives!$D$20:$D$27,Alternatives!$I$20:$I$27,I96,Alternatives!$H$20:$H$27,"Yes"))*(1+'Building Info &amp; Assumptions'!$E$77)^H96</f>
        <v>0</v>
      </c>
      <c r="J118" s="220">
        <f>(SUMIFS(Alternatives!$D$15:$D$17,Alternatives!$I$15:$I$17,J96,Alternatives!$H$15:$H$17,"Yes")+SUMIFS(Alternatives!$D$20:$D$27,Alternatives!$I$20:$I$27,J96,Alternatives!$H$20:$H$27,"Yes"))*(1+'Building Info &amp; Assumptions'!$E$77)^I96</f>
        <v>0</v>
      </c>
      <c r="K118" s="220">
        <f>(SUMIFS(Alternatives!$D$15:$D$17,Alternatives!$I$15:$I$17,K96,Alternatives!$H$15:$H$17,"Yes")+SUMIFS(Alternatives!$D$20:$D$27,Alternatives!$I$20:$I$27,K96,Alternatives!$H$20:$H$27,"Yes"))*(1+'Building Info &amp; Assumptions'!$E$77)^J96</f>
        <v>0</v>
      </c>
      <c r="L118" s="220">
        <f>(SUMIFS(Alternatives!$D$15:$D$17,Alternatives!$I$15:$I$17,L96,Alternatives!$H$15:$H$17,"Yes")+SUMIFS(Alternatives!$D$20:$D$27,Alternatives!$I$20:$I$27,L96,Alternatives!$H$20:$H$27,"Yes"))*(1+'Building Info &amp; Assumptions'!$E$77)^K96</f>
        <v>0</v>
      </c>
      <c r="M118" s="220">
        <f>(SUMIFS(Alternatives!$D$15:$D$17,Alternatives!$I$15:$I$17,M96,Alternatives!$H$15:$H$17,"Yes")+SUMIFS(Alternatives!$D$20:$D$27,Alternatives!$I$20:$I$27,M96,Alternatives!$H$20:$H$27,"Yes"))*(1+'Building Info &amp; Assumptions'!$E$77)^L96</f>
        <v>0</v>
      </c>
      <c r="N118" s="220">
        <f>(SUMIFS(Alternatives!$D$15:$D$17,Alternatives!$I$15:$I$17,N96,Alternatives!$H$15:$H$17,"Yes")+SUMIFS(Alternatives!$D$20:$D$27,Alternatives!$I$20:$I$27,N96,Alternatives!$H$20:$H$27,"Yes"))*(1+'Building Info &amp; Assumptions'!$E$77)^M96</f>
        <v>0</v>
      </c>
      <c r="O118" s="220">
        <f>(SUMIFS(Alternatives!$D$15:$D$17,Alternatives!$I$15:$I$17,O96,Alternatives!$H$15:$H$17,"Yes")+SUMIFS(Alternatives!$D$20:$D$27,Alternatives!$I$20:$I$27,O96,Alternatives!$H$20:$H$27,"Yes"))*(1+'Building Info &amp; Assumptions'!$E$77)^N96</f>
        <v>0</v>
      </c>
      <c r="P118" s="220">
        <f>(SUMIFS(Alternatives!$D$15:$D$17,Alternatives!$I$15:$I$17,P96,Alternatives!$H$15:$H$17,"Yes")+SUMIFS(Alternatives!$D$20:$D$27,Alternatives!$I$20:$I$27,P96,Alternatives!$H$20:$H$27,"Yes"))*(1+'Building Info &amp; Assumptions'!$E$77)^O96</f>
        <v>0</v>
      </c>
      <c r="Q118" s="220">
        <f>(SUMIFS(Alternatives!$D$15:$D$17,Alternatives!$I$15:$I$17,Q96,Alternatives!$H$15:$H$17,"Yes")+SUMIFS(Alternatives!$D$20:$D$27,Alternatives!$I$20:$I$27,Q96,Alternatives!$H$20:$H$27,"Yes"))*(1+'Building Info &amp; Assumptions'!$E$77)^P96</f>
        <v>0</v>
      </c>
      <c r="R118" s="220">
        <f>(SUMIFS(Alternatives!$D$15:$D$17,Alternatives!$I$15:$I$17,R96,Alternatives!$H$15:$H$17,"Yes")+SUMIFS(Alternatives!$D$20:$D$27,Alternatives!$I$20:$I$27,R96,Alternatives!$H$20:$H$27,"Yes"))*(1+'Building Info &amp; Assumptions'!$E$77)^Q96</f>
        <v>0</v>
      </c>
      <c r="S118" s="220">
        <f>(SUMIFS(Alternatives!$D$15:$D$17,Alternatives!$I$15:$I$17,S96,Alternatives!$H$15:$H$17,"Yes")+SUMIFS(Alternatives!$D$20:$D$27,Alternatives!$I$20:$I$27,S96,Alternatives!$H$20:$H$27,"Yes"))*(1+'Building Info &amp; Assumptions'!$E$77)^R96</f>
        <v>0</v>
      </c>
      <c r="T118" s="220">
        <f>(SUMIFS(Alternatives!$D$15:$D$17,Alternatives!$I$15:$I$17,T96,Alternatives!$H$15:$H$17,"Yes")+SUMIFS(Alternatives!$D$20:$D$27,Alternatives!$I$20:$I$27,T96,Alternatives!$H$20:$H$27,"Yes"))*(1+'Building Info &amp; Assumptions'!$E$77)^S96</f>
        <v>0</v>
      </c>
      <c r="U118" s="220">
        <f>(SUMIFS(Alternatives!$D$15:$D$17,Alternatives!$I$15:$I$17,U96,Alternatives!$H$15:$H$17,"Yes")+SUMIFS(Alternatives!$D$20:$D$27,Alternatives!$I$20:$I$27,U96,Alternatives!$H$20:$H$27,"Yes"))*(1+'Building Info &amp; Assumptions'!$E$77)^T96</f>
        <v>0</v>
      </c>
    </row>
    <row r="119" spans="1:21" s="110" customFormat="1">
      <c r="A119" s="571" t="s">
        <v>574</v>
      </c>
      <c r="B119" s="272">
        <f>SUMIFS(Alternatives!$G$15:$G$24,Alternatives!$I$15:$I$24,B96,Alternatives!$H$15:$H$24,"Yes")+IF(Alternatives!$H$32="Yes",'Operating Statements'!B$108,0)</f>
        <v>0</v>
      </c>
      <c r="C119" s="272">
        <f>SUMIFS(Alternatives!$G$15:$G$24,Alternatives!$I$15:$I$24,C96,Alternatives!$H$15:$H$24,"Yes")+IF(Alternatives!$H$32="Yes",'Operating Statements'!C$108,0)</f>
        <v>0</v>
      </c>
      <c r="D119" s="272">
        <f>SUMIFS(Alternatives!$G$15:$G$24,Alternatives!$I$15:$I$24,D96,Alternatives!$H$15:$H$24,"Yes")+IF(Alternatives!$H$32="Yes",'Operating Statements'!D$108,0)</f>
        <v>0</v>
      </c>
      <c r="E119" s="272">
        <f>SUMIFS(Alternatives!$G$15:$G$24,Alternatives!$I$15:$I$24,E96,Alternatives!$H$15:$H$24,"Yes")+IF(Alternatives!$H$32="Yes",'Operating Statements'!E$108,0)</f>
        <v>0</v>
      </c>
      <c r="F119" s="272">
        <f>SUMIFS(Alternatives!$G$15:$G$24,Alternatives!$I$15:$I$24,F96,Alternatives!$H$15:$H$24,"Yes")+IF(Alternatives!$H$32="Yes",'Operating Statements'!F$108,0)</f>
        <v>0</v>
      </c>
      <c r="G119" s="272">
        <f>SUMIFS(Alternatives!$G$15:$G$24,Alternatives!$I$15:$I$24,G96,Alternatives!$H$15:$H$24,"Yes")+IF(Alternatives!$H$32="Yes",'Operating Statements'!G$108,0)</f>
        <v>0</v>
      </c>
      <c r="H119" s="272">
        <f ca="1">SUMIFS(Alternatives!$G$15:$G$24,Alternatives!$I$15:$I$24,H96,Alternatives!$H$15:$H$24,"Yes")+IF(Alternatives!$H$32="Yes",'Operating Statements'!H$108,0)</f>
        <v>0</v>
      </c>
      <c r="I119" s="272">
        <f>SUMIFS(Alternatives!$G$15:$G$24,Alternatives!$I$15:$I$24,I96,Alternatives!$H$15:$H$24,"Yes")+IF(Alternatives!$H$32="Yes",'Operating Statements'!I$108,0)</f>
        <v>0</v>
      </c>
      <c r="J119" s="272">
        <f>SUMIFS(Alternatives!$G$15:$G$24,Alternatives!$I$15:$I$24,J96,Alternatives!$H$15:$H$24,"Yes")+IF(Alternatives!$H$32="Yes",'Operating Statements'!J$108,0)</f>
        <v>0</v>
      </c>
      <c r="K119" s="272">
        <f>SUMIFS(Alternatives!$G$15:$G$24,Alternatives!$I$15:$I$24,K96,Alternatives!$H$15:$H$24,"Yes")+IF(Alternatives!$H$32="Yes",'Operating Statements'!K$108,0)</f>
        <v>0</v>
      </c>
      <c r="L119" s="272">
        <f>SUMIFS(Alternatives!$G$15:$G$24,Alternatives!$I$15:$I$24,L96,Alternatives!$H$15:$H$24,"Yes")+IF(Alternatives!$H$32="Yes",'Operating Statements'!L$108,0)</f>
        <v>0</v>
      </c>
      <c r="M119" s="272">
        <f>SUMIFS(Alternatives!$G$15:$G$24,Alternatives!$I$15:$I$24,M96,Alternatives!$H$15:$H$24,"Yes")+IF(Alternatives!$H$32="Yes",'Operating Statements'!M$108,0)</f>
        <v>0</v>
      </c>
      <c r="N119" s="272">
        <f>SUMIFS(Alternatives!$G$15:$G$24,Alternatives!$I$15:$I$24,N96,Alternatives!$H$15:$H$24,"Yes")+IF(Alternatives!$H$32="Yes",'Operating Statements'!N$108,0)</f>
        <v>0</v>
      </c>
      <c r="O119" s="272">
        <f>SUMIFS(Alternatives!$G$15:$G$24,Alternatives!$I$15:$I$24,O96,Alternatives!$H$15:$H$24,"Yes")+IF(Alternatives!$H$32="Yes",'Operating Statements'!O$108,0)</f>
        <v>0</v>
      </c>
      <c r="P119" s="272">
        <f>SUMIFS(Alternatives!$G$15:$G$24,Alternatives!$I$15:$I$24,P96,Alternatives!$H$15:$H$24,"Yes")+IF(Alternatives!$H$32="Yes",'Operating Statements'!P$108,0)</f>
        <v>0</v>
      </c>
      <c r="Q119" s="272">
        <f>SUMIFS(Alternatives!$G$15:$G$24,Alternatives!$I$15:$I$24,Q96,Alternatives!$H$15:$H$24,"Yes")+IF(Alternatives!$H$32="Yes",'Operating Statements'!Q$108,0)</f>
        <v>0</v>
      </c>
      <c r="R119" s="272">
        <f>SUMIFS(Alternatives!$G$15:$G$24,Alternatives!$I$15:$I$24,R96,Alternatives!$H$15:$H$24,"Yes")+IF(Alternatives!$H$32="Yes",'Operating Statements'!R$108,0)</f>
        <v>0</v>
      </c>
      <c r="S119" s="272">
        <f>SUMIFS(Alternatives!$G$15:$G$24,Alternatives!$I$15:$I$24,S96,Alternatives!$H$15:$H$24,"Yes")+IF(Alternatives!$H$32="Yes",'Operating Statements'!S$108,0)</f>
        <v>0</v>
      </c>
      <c r="T119" s="272">
        <f>SUMIFS(Alternatives!$G$15:$G$24,Alternatives!$I$15:$I$24,T96,Alternatives!$H$15:$H$24,"Yes")+IF(Alternatives!$H$32="Yes",'Operating Statements'!T$108,0)</f>
        <v>0</v>
      </c>
      <c r="U119" s="272">
        <f>SUMIFS(Alternatives!$G$15:$G$24,Alternatives!$I$15:$I$24,U96,Alternatives!$H$15:$H$24,"Yes")+IF(Alternatives!$H$32="Yes",'Operating Statements'!U$108,0)</f>
        <v>0</v>
      </c>
    </row>
    <row r="120" spans="1:21">
      <c r="A120" s="571" t="s">
        <v>575</v>
      </c>
      <c r="B120" s="272">
        <f>SUMIFS(Alternatives!$F$15:$F$17,Alternatives!$I$15:$I$17,B96,Alternatives!$H$15:$H$17,"Yes")+SUMIFS(Alternatives!$F$20:$F$24,Alternatives!$I$20:$I$24,B96,Alternatives!$H$20:$H$24,"Yes")</f>
        <v>0</v>
      </c>
      <c r="C120" s="272">
        <f>IF($B$6&gt;=C96, (SUMIFS(Alternatives!$F$15:$F$17,Alternatives!$I$15:$I$17,C96,Alternatives!$H$15:$H$17,"Yes")+SUMIFS(Alternatives!$F$20:$F$24,Alternatives!$I$20:$I$24,C96,Alternatives!$H$20:$H$24,"Yes"))*(1+'Building Info &amp; Assumptions'!$E$77)^B96)</f>
        <v>0</v>
      </c>
      <c r="D120" s="272">
        <f>IF($B$6&gt;=D96, (SUMIFS(Alternatives!$F$15:$F$17,Alternatives!$I$15:$I$17,D96,Alternatives!$H$15:$H$17,"Yes")+SUMIFS(Alternatives!$F$20:$F$24,Alternatives!$I$20:$I$24,D96,Alternatives!$H$20:$H$24,"Yes"))*(1+'Building Info &amp; Assumptions'!$E$77)^C96)</f>
        <v>0</v>
      </c>
      <c r="E120" s="272">
        <f>IF($B$6&gt;=E96, (SUMIFS(Alternatives!$F$15:$F$17,Alternatives!$I$15:$I$17,E96,Alternatives!$H$15:$H$17,"Yes")+SUMIFS(Alternatives!$F$20:$F$24,Alternatives!$I$20:$I$24,E96,Alternatives!$H$20:$H$24,"Yes"))*(1+'Building Info &amp; Assumptions'!$E$77)^D96)</f>
        <v>0</v>
      </c>
      <c r="F120" s="272">
        <f>IF($B$6&gt;=F96, (SUMIFS(Alternatives!$F$15:$F$17,Alternatives!$I$15:$I$17,F96,Alternatives!$H$15:$H$17,"Yes")+SUMIFS(Alternatives!$F$20:$F$24,Alternatives!$I$20:$I$24,F96,Alternatives!$H$20:$H$24,"Yes"))*(1+'Building Info &amp; Assumptions'!$E$77)^E96)</f>
        <v>0</v>
      </c>
      <c r="G120" s="272">
        <f>IF($B$6&gt;=G96, (SUMIFS(Alternatives!$F$15:$F$17,Alternatives!$I$15:$I$17,G96,Alternatives!$H$15:$H$17,"Yes")+SUMIFS(Alternatives!$F$20:$F$24,Alternatives!$I$20:$I$24,G96,Alternatives!$H$20:$H$24,"Yes"))*(1+'Building Info &amp; Assumptions'!$E$77)^F96)</f>
        <v>0</v>
      </c>
      <c r="H120" s="272">
        <f ca="1">IF($B$6&gt;=H96, (SUMIFS(Alternatives!$F$15:$F$17,Alternatives!$I$15:$I$17,H96,Alternatives!$H$15:$H$17,"Yes")+SUMIFS(Alternatives!$F$20:$F$24,Alternatives!$I$20:$I$24,H96,Alternatives!$H$20:$H$24,"Yes"))*(1+'Building Info &amp; Assumptions'!$E$77)^G96)</f>
        <v>7006755.3601637362</v>
      </c>
      <c r="I120" s="272">
        <f>IF($B$6&gt;=I96, (SUMIFS(Alternatives!$F$15:$F$17,Alternatives!$I$15:$I$17,I96,Alternatives!$H$15:$H$17,"Yes")+SUMIFS(Alternatives!$F$20:$F$24,Alternatives!$I$20:$I$24,I96,Alternatives!$H$20:$H$24,"Yes"))*(1+'Building Info &amp; Assumptions'!$E$77)^H96)</f>
        <v>0</v>
      </c>
      <c r="J120" s="272">
        <f>IF($B$6&gt;=J96, (SUMIFS(Alternatives!$F$15:$F$17,Alternatives!$I$15:$I$17,J96,Alternatives!$H$15:$H$17,"Yes")+SUMIFS(Alternatives!$F$20:$F$24,Alternatives!$I$20:$I$24,J96,Alternatives!$H$20:$H$24,"Yes"))*(1+'Building Info &amp; Assumptions'!$E$77)^I96)</f>
        <v>0</v>
      </c>
      <c r="K120" s="272">
        <f>IF($B$6&gt;=K96, (SUMIFS(Alternatives!$F$15:$F$17,Alternatives!$I$15:$I$17,K96,Alternatives!$H$15:$H$17,"Yes")+SUMIFS(Alternatives!$F$20:$F$24,Alternatives!$I$20:$I$24,K96,Alternatives!$H$20:$H$24,"Yes"))*(1+'Building Info &amp; Assumptions'!$E$77)^J96)</f>
        <v>0</v>
      </c>
      <c r="L120" s="272">
        <f>IF($B$6&gt;=L96, (SUMIFS(Alternatives!$F$15:$F$17,Alternatives!$I$15:$I$17,L96,Alternatives!$H$15:$H$17,"Yes")+SUMIFS(Alternatives!$F$20:$F$24,Alternatives!$I$20:$I$24,L96,Alternatives!$H$20:$H$24,"Yes"))*(1+'Building Info &amp; Assumptions'!$E$77)^K96)</f>
        <v>0</v>
      </c>
      <c r="M120" s="272">
        <f>IF($B$6&gt;=M96, (SUMIFS(Alternatives!$F$15:$F$17,Alternatives!$I$15:$I$17,M96,Alternatives!$H$15:$H$17,"Yes")+SUMIFS(Alternatives!$F$20:$F$24,Alternatives!$I$20:$I$24,M96,Alternatives!$H$20:$H$24,"Yes"))*(1+'Building Info &amp; Assumptions'!$E$77)^L96)</f>
        <v>0</v>
      </c>
      <c r="N120" s="272">
        <f>IF($B$6&gt;=N96, (SUMIFS(Alternatives!$F$15:$F$17,Alternatives!$I$15:$I$17,N96,Alternatives!$H$15:$H$17,"Yes")+SUMIFS(Alternatives!$F$20:$F$24,Alternatives!$I$20:$I$24,N96,Alternatives!$H$20:$H$24,"Yes"))*(1+'Building Info &amp; Assumptions'!$E$77)^M96)</f>
        <v>0</v>
      </c>
      <c r="O120" s="272">
        <f>IF($B$6&gt;=O96, (SUMIFS(Alternatives!$F$15:$F$17,Alternatives!$I$15:$I$17,O96,Alternatives!$H$15:$H$17,"Yes")+SUMIFS(Alternatives!$F$20:$F$24,Alternatives!$I$20:$I$24,O96,Alternatives!$H$20:$H$24,"Yes"))*(1+'Building Info &amp; Assumptions'!$E$77)^N96)</f>
        <v>0</v>
      </c>
      <c r="P120" s="272">
        <f>IF($B$6&gt;=P96, (SUMIFS(Alternatives!$F$15:$F$17,Alternatives!$I$15:$I$17,P96,Alternatives!$H$15:$H$17,"Yes")+SUMIFS(Alternatives!$F$20:$F$24,Alternatives!$I$20:$I$24,P96,Alternatives!$H$20:$H$24,"Yes"))*(1+'Building Info &amp; Assumptions'!$E$77)^O96)</f>
        <v>0</v>
      </c>
      <c r="Q120" s="272">
        <f>IF($B$6&gt;=Q96, (SUMIFS(Alternatives!$F$15:$F$17,Alternatives!$I$15:$I$17,Q96,Alternatives!$H$15:$H$17,"Yes")+SUMIFS(Alternatives!$F$20:$F$24,Alternatives!$I$20:$I$24,Q96,Alternatives!$H$20:$H$24,"Yes"))*(1+'Building Info &amp; Assumptions'!$E$77)^P96)</f>
        <v>0</v>
      </c>
      <c r="R120" s="272">
        <f>IF($B$6&gt;=R96, (SUMIFS(Alternatives!$F$15:$F$17,Alternatives!$I$15:$I$17,R96,Alternatives!$H$15:$H$17,"Yes")+SUMIFS(Alternatives!$F$20:$F$24,Alternatives!$I$20:$I$24,R96,Alternatives!$H$20:$H$24,"Yes"))*(1+'Building Info &amp; Assumptions'!$E$77)^Q96)</f>
        <v>0</v>
      </c>
      <c r="S120" s="272">
        <f>IF($B$6&gt;=S96, (SUMIFS(Alternatives!$F$15:$F$17,Alternatives!$I$15:$I$17,S96,Alternatives!$H$15:$H$17,"Yes")+SUMIFS(Alternatives!$F$20:$F$24,Alternatives!$I$20:$I$24,S96,Alternatives!$H$20:$H$24,"Yes"))*(1+'Building Info &amp; Assumptions'!$E$77)^R96)</f>
        <v>0</v>
      </c>
      <c r="T120" s="272">
        <f>IF($B$6&gt;=T96, (SUMIFS(Alternatives!$F$15:$F$17,Alternatives!$I$15:$I$17,T96,Alternatives!$H$15:$H$17,"Yes")+SUMIFS(Alternatives!$F$20:$F$24,Alternatives!$I$20:$I$24,T96,Alternatives!$H$20:$H$24,"Yes"))*(1+'Building Info &amp; Assumptions'!$E$77)^S96)</f>
        <v>0</v>
      </c>
      <c r="U120" s="272">
        <f>IF($B$6&gt;=U96, (SUMIFS(Alternatives!$F$15:$F$17,Alternatives!$I$15:$I$17,U96,Alternatives!$H$15:$H$17,"Yes")+SUMIFS(Alternatives!$F$20:$F$24,Alternatives!$I$20:$I$24,U96,Alternatives!$H$20:$H$24,"Yes"))*(1+'Building Info &amp; Assumptions'!$E$77)^T96)</f>
        <v>0</v>
      </c>
    </row>
    <row r="121" spans="1:21">
      <c r="A121" s="110"/>
      <c r="B121" s="204"/>
      <c r="C121" s="205"/>
      <c r="D121" s="205"/>
      <c r="E121" s="205"/>
      <c r="F121" s="205"/>
      <c r="G121" s="205"/>
      <c r="H121" s="205"/>
      <c r="I121" s="205"/>
      <c r="J121" s="205"/>
      <c r="K121" s="205"/>
      <c r="L121" s="205"/>
      <c r="M121" s="205"/>
      <c r="N121" s="205"/>
      <c r="O121" s="205"/>
      <c r="P121" s="205"/>
      <c r="Q121" s="205"/>
      <c r="R121" s="205"/>
      <c r="S121" s="205"/>
      <c r="T121" s="205"/>
      <c r="U121" s="205"/>
    </row>
    <row r="122" spans="1:21">
      <c r="A122" s="202" t="s">
        <v>309</v>
      </c>
      <c r="B122" s="474">
        <f>SUM(B104:B116)</f>
        <v>49405153.05555556</v>
      </c>
      <c r="C122" s="474">
        <f t="shared" ref="C122:U122" ca="1" si="68">SUM(C104:C116)</f>
        <v>58394869.481600001</v>
      </c>
      <c r="D122" s="474">
        <f t="shared" ca="1" si="68"/>
        <v>52335463.825215995</v>
      </c>
      <c r="E122" s="474">
        <f t="shared" ca="1" si="68"/>
        <v>54076864.37859612</v>
      </c>
      <c r="F122" s="474">
        <f t="shared" ca="1" si="68"/>
        <v>55650686.396672592</v>
      </c>
      <c r="G122" s="474">
        <f t="shared" ca="1" si="68"/>
        <v>57303856.000783727</v>
      </c>
      <c r="H122" s="474">
        <f t="shared" ca="1" si="68"/>
        <v>65984008.264215119</v>
      </c>
      <c r="I122" s="474">
        <f t="shared" ca="1" si="68"/>
        <v>60799091.962585673</v>
      </c>
      <c r="J122" s="474">
        <f t="shared" ca="1" si="68"/>
        <v>62681709.930013381</v>
      </c>
      <c r="K122" s="474">
        <f t="shared" ca="1" si="68"/>
        <v>64796891.679697976</v>
      </c>
      <c r="L122" s="474">
        <f t="shared" ca="1" si="68"/>
        <v>66780491.064944588</v>
      </c>
      <c r="M122" s="474">
        <f t="shared" ca="1" si="68"/>
        <v>73186843.272502244</v>
      </c>
      <c r="N122" s="474">
        <f t="shared" ca="1" si="68"/>
        <v>70924019.954807103</v>
      </c>
      <c r="O122" s="474">
        <f t="shared" ca="1" si="68"/>
        <v>73112533.143857002</v>
      </c>
      <c r="P122" s="474">
        <f t="shared" ca="1" si="68"/>
        <v>75835456.42104879</v>
      </c>
      <c r="Q122" s="474">
        <f t="shared" ca="1" si="68"/>
        <v>78181943.797901094</v>
      </c>
      <c r="R122" s="474">
        <f t="shared" ca="1" si="68"/>
        <v>80606850.386520043</v>
      </c>
      <c r="S122" s="474">
        <f t="shared" ca="1" si="68"/>
        <v>83112881.941567034</v>
      </c>
      <c r="T122" s="474">
        <f t="shared" ca="1" si="68"/>
        <v>85702833.896877185</v>
      </c>
      <c r="U122" s="474">
        <f t="shared" ca="1" si="68"/>
        <v>88379594.150225908</v>
      </c>
    </row>
    <row r="123" spans="1:21" s="221" customFormat="1">
      <c r="A123" s="571" t="s">
        <v>576</v>
      </c>
      <c r="B123" s="206">
        <f>B118+B119+B120</f>
        <v>0</v>
      </c>
      <c r="C123" s="206">
        <f t="shared" ref="C123:U123" si="69">C118+C119+C120</f>
        <v>0</v>
      </c>
      <c r="D123" s="206">
        <f t="shared" si="69"/>
        <v>0</v>
      </c>
      <c r="E123" s="206">
        <f t="shared" si="69"/>
        <v>0</v>
      </c>
      <c r="F123" s="206">
        <f t="shared" si="69"/>
        <v>0</v>
      </c>
      <c r="G123" s="206">
        <f t="shared" si="69"/>
        <v>0</v>
      </c>
      <c r="H123" s="206">
        <f t="shared" ca="1" si="69"/>
        <v>7099569.0543240523</v>
      </c>
      <c r="I123" s="206">
        <f t="shared" si="69"/>
        <v>0</v>
      </c>
      <c r="J123" s="206">
        <f t="shared" si="69"/>
        <v>0</v>
      </c>
      <c r="K123" s="206">
        <f t="shared" si="69"/>
        <v>0</v>
      </c>
      <c r="L123" s="206">
        <f t="shared" si="69"/>
        <v>0</v>
      </c>
      <c r="M123" s="206">
        <f t="shared" si="69"/>
        <v>0</v>
      </c>
      <c r="N123" s="206">
        <f t="shared" si="69"/>
        <v>0</v>
      </c>
      <c r="O123" s="206">
        <f t="shared" si="69"/>
        <v>0</v>
      </c>
      <c r="P123" s="206">
        <f t="shared" si="69"/>
        <v>0</v>
      </c>
      <c r="Q123" s="206">
        <f t="shared" si="69"/>
        <v>0</v>
      </c>
      <c r="R123" s="206">
        <f t="shared" si="69"/>
        <v>0</v>
      </c>
      <c r="S123" s="206">
        <f t="shared" si="69"/>
        <v>0</v>
      </c>
      <c r="T123" s="206">
        <f t="shared" si="69"/>
        <v>0</v>
      </c>
      <c r="U123" s="206">
        <f t="shared" si="69"/>
        <v>0</v>
      </c>
    </row>
    <row r="124" spans="1:21">
      <c r="A124" s="110"/>
    </row>
    <row r="125" spans="1:21">
      <c r="A125" s="110" t="s">
        <v>577</v>
      </c>
      <c r="C125" s="208">
        <f ca="1">C122-B122</f>
        <v>8989716.4260444418</v>
      </c>
      <c r="D125" s="208">
        <f t="shared" ref="D125:U125" ca="1" si="70">D122-C122</f>
        <v>-6059405.6563840061</v>
      </c>
      <c r="E125" s="208">
        <f t="shared" ca="1" si="70"/>
        <v>1741400.5533801243</v>
      </c>
      <c r="F125" s="208">
        <f t="shared" ca="1" si="70"/>
        <v>1573822.018076472</v>
      </c>
      <c r="G125" s="208">
        <f t="shared" ca="1" si="70"/>
        <v>1653169.604111135</v>
      </c>
      <c r="H125" s="208">
        <f t="shared" ca="1" si="70"/>
        <v>8680152.2634313926</v>
      </c>
      <c r="I125" s="208">
        <f t="shared" ca="1" si="70"/>
        <v>-5184916.3016294464</v>
      </c>
      <c r="J125" s="208">
        <f t="shared" ca="1" si="70"/>
        <v>1882617.9674277082</v>
      </c>
      <c r="K125" s="208">
        <f t="shared" ca="1" si="70"/>
        <v>2115181.7496845946</v>
      </c>
      <c r="L125" s="208">
        <f t="shared" ca="1" si="70"/>
        <v>1983599.3852466121</v>
      </c>
      <c r="M125" s="208">
        <f t="shared" ca="1" si="70"/>
        <v>6406352.2075576559</v>
      </c>
      <c r="N125" s="208">
        <f t="shared" ca="1" si="70"/>
        <v>-2262823.3176951408</v>
      </c>
      <c r="O125" s="208">
        <f t="shared" ca="1" si="70"/>
        <v>2188513.1890498996</v>
      </c>
      <c r="P125" s="208">
        <f t="shared" ca="1" si="70"/>
        <v>2722923.277191788</v>
      </c>
      <c r="Q125" s="208">
        <f t="shared" ca="1" si="70"/>
        <v>2346487.3768523037</v>
      </c>
      <c r="R125" s="208">
        <f t="shared" ca="1" si="70"/>
        <v>2424906.5886189491</v>
      </c>
      <c r="S125" s="208">
        <f t="shared" ca="1" si="70"/>
        <v>2506031.5550469905</v>
      </c>
      <c r="T125" s="208">
        <f t="shared" ca="1" si="70"/>
        <v>2589951.955310151</v>
      </c>
      <c r="U125" s="208">
        <f t="shared" ca="1" si="70"/>
        <v>2676760.2533487231</v>
      </c>
    </row>
    <row r="126" spans="1:21">
      <c r="A126" s="424"/>
      <c r="C126" s="209">
        <f ca="1">C125/B122</f>
        <v>0.18195908463102226</v>
      </c>
      <c r="D126" s="209">
        <f t="shared" ref="D126:U126" ca="1" si="71">D125/C122</f>
        <v>-0.10376606215882204</v>
      </c>
      <c r="E126" s="209">
        <f t="shared" ca="1" si="71"/>
        <v>3.3273815231596206E-2</v>
      </c>
      <c r="F126" s="209">
        <f t="shared" ca="1" si="71"/>
        <v>2.910342595047723E-2</v>
      </c>
      <c r="G126" s="209">
        <f t="shared" ca="1" si="71"/>
        <v>2.9706185334849339E-2</v>
      </c>
      <c r="H126" s="209">
        <f t="shared" ca="1" si="71"/>
        <v>0.15147588433338025</v>
      </c>
      <c r="I126" s="209">
        <f t="shared" ca="1" si="71"/>
        <v>-7.8578377367859359E-2</v>
      </c>
      <c r="J126" s="209">
        <f t="shared" ca="1" si="71"/>
        <v>3.0964573756894705E-2</v>
      </c>
      <c r="K126" s="209">
        <f t="shared" ca="1" si="71"/>
        <v>3.3744799751734264E-2</v>
      </c>
      <c r="L126" s="209">
        <f t="shared" ca="1" si="71"/>
        <v>3.0612570045055253E-2</v>
      </c>
      <c r="M126" s="209">
        <f t="shared" ca="1" si="71"/>
        <v>9.5931492946456837E-2</v>
      </c>
      <c r="N126" s="209">
        <f t="shared" ca="1" si="71"/>
        <v>-3.0918444033305213E-2</v>
      </c>
      <c r="O126" s="209">
        <f t="shared" ca="1" si="71"/>
        <v>3.08571509404631E-2</v>
      </c>
      <c r="P126" s="209">
        <f t="shared" ca="1" si="71"/>
        <v>3.7242907065388298E-2</v>
      </c>
      <c r="Q126" s="209">
        <f t="shared" ca="1" si="71"/>
        <v>3.0941824412901085E-2</v>
      </c>
      <c r="R126" s="209">
        <f t="shared" ca="1" si="71"/>
        <v>3.1016197229468849E-2</v>
      </c>
      <c r="S126" s="209">
        <f t="shared" ca="1" si="71"/>
        <v>3.1089560540205358E-2</v>
      </c>
      <c r="T126" s="209">
        <f t="shared" ca="1" si="71"/>
        <v>3.1161859567461887E-2</v>
      </c>
      <c r="U126" s="209">
        <f t="shared" ca="1" si="71"/>
        <v>3.1233042498566177E-2</v>
      </c>
    </row>
    <row r="127" spans="1:21">
      <c r="A127" s="110" t="s">
        <v>311</v>
      </c>
      <c r="C127" s="208">
        <f ca="1">C122-$B$122</f>
        <v>8989716.4260444418</v>
      </c>
      <c r="D127" s="208">
        <f t="shared" ref="D127:U127" ca="1" si="72">D122-$B$122</f>
        <v>2930310.7696604356</v>
      </c>
      <c r="E127" s="208">
        <f t="shared" ca="1" si="72"/>
        <v>4671711.3230405599</v>
      </c>
      <c r="F127" s="208">
        <f t="shared" ca="1" si="72"/>
        <v>6245533.3411170319</v>
      </c>
      <c r="G127" s="208">
        <f t="shared" ca="1" si="72"/>
        <v>7898702.9452281669</v>
      </c>
      <c r="H127" s="208">
        <f t="shared" ca="1" si="72"/>
        <v>16578855.208659559</v>
      </c>
      <c r="I127" s="208">
        <f t="shared" ca="1" si="72"/>
        <v>11393938.907030113</v>
      </c>
      <c r="J127" s="208">
        <f t="shared" ca="1" si="72"/>
        <v>13276556.874457821</v>
      </c>
      <c r="K127" s="208">
        <f t="shared" ca="1" si="72"/>
        <v>15391738.624142416</v>
      </c>
      <c r="L127" s="208">
        <f t="shared" ca="1" si="72"/>
        <v>17375338.009389028</v>
      </c>
      <c r="M127" s="208">
        <f t="shared" ca="1" si="72"/>
        <v>23781690.216946684</v>
      </c>
      <c r="N127" s="208">
        <f t="shared" ca="1" si="72"/>
        <v>21518866.899251543</v>
      </c>
      <c r="O127" s="208">
        <f t="shared" ca="1" si="72"/>
        <v>23707380.088301443</v>
      </c>
      <c r="P127" s="208">
        <f t="shared" ca="1" si="72"/>
        <v>26430303.365493231</v>
      </c>
      <c r="Q127" s="208">
        <f t="shared" ca="1" si="72"/>
        <v>28776790.742345534</v>
      </c>
      <c r="R127" s="208">
        <f t="shared" ca="1" si="72"/>
        <v>31201697.330964483</v>
      </c>
      <c r="S127" s="208">
        <f t="shared" ca="1" si="72"/>
        <v>33707728.886011474</v>
      </c>
      <c r="T127" s="208">
        <f t="shared" ca="1" si="72"/>
        <v>36297680.841321625</v>
      </c>
      <c r="U127" s="208">
        <f t="shared" ca="1" si="72"/>
        <v>38974441.094670348</v>
      </c>
    </row>
    <row r="128" spans="1:21">
      <c r="A128" s="110"/>
    </row>
    <row r="129" spans="1:21" ht="15.95" thickBot="1">
      <c r="A129" s="202" t="s">
        <v>312</v>
      </c>
      <c r="B129" s="210">
        <f>B101-B122</f>
        <v>68589108.055555552</v>
      </c>
      <c r="C129" s="210">
        <f t="shared" ref="C129:U129" ca="1" si="73">C101-C122</f>
        <v>63729130.518399999</v>
      </c>
      <c r="D129" s="210">
        <f t="shared" ca="1" si="73"/>
        <v>74062836.174784005</v>
      </c>
      <c r="E129" s="210">
        <f t="shared" ca="1" si="73"/>
        <v>76745435.621403873</v>
      </c>
      <c r="F129" s="210">
        <f t="shared" ca="1" si="73"/>
        <v>79750413.603327408</v>
      </c>
      <c r="G129" s="210">
        <f t="shared" ca="1" si="73"/>
        <v>82836243.999216273</v>
      </c>
      <c r="H129" s="210">
        <f t="shared" ca="1" si="73"/>
        <v>79061091.735784888</v>
      </c>
      <c r="I129" s="210">
        <f t="shared" ca="1" si="73"/>
        <v>89322508.037414327</v>
      </c>
      <c r="J129" s="210">
        <f t="shared" ca="1" si="73"/>
        <v>92694190.069986612</v>
      </c>
      <c r="K129" s="210">
        <f t="shared" ca="1" si="73"/>
        <v>96017108.320302024</v>
      </c>
      <c r="L129" s="210">
        <f t="shared" ca="1" si="73"/>
        <v>99662008.935055405</v>
      </c>
      <c r="M129" s="210">
        <f t="shared" ca="1" si="73"/>
        <v>99081156.727497756</v>
      </c>
      <c r="N129" s="210">
        <f t="shared" ca="1" si="73"/>
        <v>107373280.0451929</v>
      </c>
      <c r="O129" s="210">
        <f t="shared" ca="1" si="73"/>
        <v>111425166.856143</v>
      </c>
      <c r="P129" s="210">
        <f t="shared" ca="1" si="73"/>
        <v>115161043.57895121</v>
      </c>
      <c r="Q129" s="210">
        <f t="shared" ca="1" si="73"/>
        <v>119499456.20209891</v>
      </c>
      <c r="R129" s="210">
        <f t="shared" ca="1" si="73"/>
        <v>123993349.61347996</v>
      </c>
      <c r="S129" s="210">
        <f t="shared" ca="1" si="73"/>
        <v>128648318.05843297</v>
      </c>
      <c r="T129" s="210">
        <f t="shared" ca="1" si="73"/>
        <v>133470066.10312282</v>
      </c>
      <c r="U129" s="210">
        <f t="shared" ca="1" si="73"/>
        <v>138464405.84977409</v>
      </c>
    </row>
    <row r="130" spans="1:21" s="221" customFormat="1" ht="17.100000000000001" thickTop="1" thickBot="1">
      <c r="A130" s="571" t="s">
        <v>578</v>
      </c>
      <c r="B130" s="718">
        <f>-B123</f>
        <v>0</v>
      </c>
      <c r="C130" s="718">
        <f t="shared" ref="C130:U130" si="74">-C123</f>
        <v>0</v>
      </c>
      <c r="D130" s="718">
        <f t="shared" si="74"/>
        <v>0</v>
      </c>
      <c r="E130" s="718">
        <f t="shared" si="74"/>
        <v>0</v>
      </c>
      <c r="F130" s="718">
        <f t="shared" si="74"/>
        <v>0</v>
      </c>
      <c r="G130" s="718">
        <f t="shared" si="74"/>
        <v>0</v>
      </c>
      <c r="H130" s="718">
        <f t="shared" ca="1" si="74"/>
        <v>-7099569.0543240523</v>
      </c>
      <c r="I130" s="718">
        <f t="shared" si="74"/>
        <v>0</v>
      </c>
      <c r="J130" s="718">
        <f t="shared" si="74"/>
        <v>0</v>
      </c>
      <c r="K130" s="718">
        <f t="shared" si="74"/>
        <v>0</v>
      </c>
      <c r="L130" s="718">
        <f t="shared" si="74"/>
        <v>0</v>
      </c>
      <c r="M130" s="718">
        <f t="shared" si="74"/>
        <v>0</v>
      </c>
      <c r="N130" s="718">
        <f t="shared" si="74"/>
        <v>0</v>
      </c>
      <c r="O130" s="718">
        <f t="shared" si="74"/>
        <v>0</v>
      </c>
      <c r="P130" s="718">
        <f t="shared" si="74"/>
        <v>0</v>
      </c>
      <c r="Q130" s="718">
        <f t="shared" si="74"/>
        <v>0</v>
      </c>
      <c r="R130" s="718">
        <f t="shared" si="74"/>
        <v>0</v>
      </c>
      <c r="S130" s="718">
        <f t="shared" si="74"/>
        <v>0</v>
      </c>
      <c r="T130" s="718">
        <f t="shared" si="74"/>
        <v>0</v>
      </c>
      <c r="U130" s="718">
        <f t="shared" si="74"/>
        <v>0</v>
      </c>
    </row>
    <row r="131" spans="1:21" ht="15.95" thickTop="1">
      <c r="A131" s="110"/>
    </row>
    <row r="132" spans="1:21">
      <c r="A132" s="110" t="s">
        <v>310</v>
      </c>
      <c r="C132" s="208">
        <f ca="1">C129-B129</f>
        <v>-4859977.5371555537</v>
      </c>
      <c r="D132" s="208">
        <f t="shared" ref="D132:U132" ca="1" si="75">D129-C129</f>
        <v>10333705.656384006</v>
      </c>
      <c r="E132" s="208">
        <f t="shared" ca="1" si="75"/>
        <v>2682599.4466198683</v>
      </c>
      <c r="F132" s="208">
        <f t="shared" ca="1" si="75"/>
        <v>3004977.9819235355</v>
      </c>
      <c r="G132" s="208">
        <f t="shared" ca="1" si="75"/>
        <v>3085830.395888865</v>
      </c>
      <c r="H132" s="208">
        <f t="shared" ca="1" si="75"/>
        <v>-3775152.2634313852</v>
      </c>
      <c r="I132" s="208">
        <f t="shared" ca="1" si="75"/>
        <v>10261416.301629439</v>
      </c>
      <c r="J132" s="208">
        <f t="shared" ca="1" si="75"/>
        <v>3371682.0325722843</v>
      </c>
      <c r="K132" s="208">
        <f t="shared" ca="1" si="75"/>
        <v>3322918.2503154129</v>
      </c>
      <c r="L132" s="208">
        <f t="shared" ca="1" si="75"/>
        <v>3644900.6147533804</v>
      </c>
      <c r="M132" s="208">
        <f t="shared" ca="1" si="75"/>
        <v>-580852.20755764842</v>
      </c>
      <c r="N132" s="208">
        <f t="shared" ca="1" si="75"/>
        <v>8292123.3176951408</v>
      </c>
      <c r="O132" s="208">
        <f t="shared" ca="1" si="75"/>
        <v>4051886.8109501004</v>
      </c>
      <c r="P132" s="208">
        <f t="shared" ca="1" si="75"/>
        <v>3735876.722808212</v>
      </c>
      <c r="Q132" s="208">
        <f t="shared" ca="1" si="75"/>
        <v>4338412.6231476963</v>
      </c>
      <c r="R132" s="208">
        <f t="shared" ca="1" si="75"/>
        <v>4493893.4113810509</v>
      </c>
      <c r="S132" s="208">
        <f t="shared" ca="1" si="75"/>
        <v>4654968.4449530095</v>
      </c>
      <c r="T132" s="208">
        <f t="shared" ca="1" si="75"/>
        <v>4821748.044689849</v>
      </c>
      <c r="U132" s="208">
        <f t="shared" ca="1" si="75"/>
        <v>4994339.7466512769</v>
      </c>
    </row>
    <row r="133" spans="1:21">
      <c r="A133" s="424"/>
      <c r="C133" s="209">
        <f ca="1">C132/B129</f>
        <v>-7.0856403807133442E-2</v>
      </c>
      <c r="D133" s="209">
        <f t="shared" ref="D133:U133" ca="1" si="76">D132/C129</f>
        <v>0.16215042590923845</v>
      </c>
      <c r="E133" s="209">
        <f t="shared" ca="1" si="76"/>
        <v>3.6220587614131994E-2</v>
      </c>
      <c r="F133" s="209">
        <f t="shared" ca="1" si="76"/>
        <v>3.9155136166631702E-2</v>
      </c>
      <c r="G133" s="209">
        <f t="shared" ca="1" si="76"/>
        <v>3.8693597392955907E-2</v>
      </c>
      <c r="H133" s="209">
        <f t="shared" ca="1" si="76"/>
        <v>-4.5573677428772635E-2</v>
      </c>
      <c r="I133" s="209">
        <f t="shared" ca="1" si="76"/>
        <v>0.12979097652638261</v>
      </c>
      <c r="J133" s="209">
        <f t="shared" ca="1" si="76"/>
        <v>3.7747283486039097E-2</v>
      </c>
      <c r="K133" s="209">
        <f t="shared" ca="1" si="76"/>
        <v>3.5848182586271267E-2</v>
      </c>
      <c r="L133" s="209">
        <f t="shared" ca="1" si="76"/>
        <v>3.7960949652789081E-2</v>
      </c>
      <c r="M133" s="209">
        <f t="shared" ca="1" si="76"/>
        <v>-5.8282209416043364E-3</v>
      </c>
      <c r="N133" s="209">
        <f t="shared" ca="1" si="76"/>
        <v>8.3690215088030429E-2</v>
      </c>
      <c r="O133" s="209">
        <f t="shared" ca="1" si="76"/>
        <v>3.7736453699138937E-2</v>
      </c>
      <c r="P133" s="209">
        <f t="shared" ca="1" si="76"/>
        <v>3.352812320785184E-2</v>
      </c>
      <c r="Q133" s="209">
        <f t="shared" ca="1" si="76"/>
        <v>3.7672571282088126E-2</v>
      </c>
      <c r="R133" s="209">
        <f t="shared" ca="1" si="76"/>
        <v>3.7605973735821231E-2</v>
      </c>
      <c r="S133" s="209">
        <f t="shared" ca="1" si="76"/>
        <v>3.7542081566985457E-2</v>
      </c>
      <c r="T133" s="209">
        <f t="shared" ca="1" si="76"/>
        <v>3.7480070610015882E-2</v>
      </c>
      <c r="U133" s="209">
        <f t="shared" ca="1" si="76"/>
        <v>3.7419174894185683E-2</v>
      </c>
    </row>
    <row r="134" spans="1:21">
      <c r="A134" s="110" t="s">
        <v>311</v>
      </c>
      <c r="C134" s="208">
        <f ca="1">C129-$B$129</f>
        <v>-4859977.5371555537</v>
      </c>
      <c r="D134" s="208">
        <f t="shared" ref="D134:U134" ca="1" si="77">D129-$B$129</f>
        <v>5473728.1192284524</v>
      </c>
      <c r="E134" s="208">
        <f t="shared" ca="1" si="77"/>
        <v>8156327.5658483207</v>
      </c>
      <c r="F134" s="208">
        <f t="shared" ca="1" si="77"/>
        <v>11161305.547771856</v>
      </c>
      <c r="G134" s="208">
        <f t="shared" ca="1" si="77"/>
        <v>14247135.943660721</v>
      </c>
      <c r="H134" s="208">
        <f t="shared" ca="1" si="77"/>
        <v>10471983.680229336</v>
      </c>
      <c r="I134" s="208">
        <f t="shared" ca="1" si="77"/>
        <v>20733399.981858775</v>
      </c>
      <c r="J134" s="208">
        <f t="shared" ca="1" si="77"/>
        <v>24105082.014431059</v>
      </c>
      <c r="K134" s="208">
        <f t="shared" ca="1" si="77"/>
        <v>27428000.264746472</v>
      </c>
      <c r="L134" s="208">
        <f t="shared" ca="1" si="77"/>
        <v>31072900.879499853</v>
      </c>
      <c r="M134" s="208">
        <f t="shared" ca="1" si="77"/>
        <v>30492048.671942204</v>
      </c>
      <c r="N134" s="208">
        <f t="shared" ca="1" si="77"/>
        <v>38784171.989637345</v>
      </c>
      <c r="O134" s="208">
        <f t="shared" ca="1" si="77"/>
        <v>42836058.800587445</v>
      </c>
      <c r="P134" s="208">
        <f t="shared" ca="1" si="77"/>
        <v>46571935.523395658</v>
      </c>
      <c r="Q134" s="208">
        <f t="shared" ca="1" si="77"/>
        <v>50910348.146543354</v>
      </c>
      <c r="R134" s="208">
        <f t="shared" ca="1" si="77"/>
        <v>55404241.557924405</v>
      </c>
      <c r="S134" s="208">
        <f t="shared" ca="1" si="77"/>
        <v>60059210.002877414</v>
      </c>
      <c r="T134" s="208">
        <f t="shared" ca="1" si="77"/>
        <v>64880958.047567263</v>
      </c>
      <c r="U134" s="208">
        <f t="shared" ca="1" si="77"/>
        <v>69875297.79421854</v>
      </c>
    </row>
    <row r="136" spans="1:21" s="304" customFormat="1">
      <c r="A136" s="303" t="s">
        <v>582</v>
      </c>
      <c r="H136" s="303"/>
      <c r="L136" s="432"/>
      <c r="M136" s="432"/>
      <c r="N136" s="432"/>
      <c r="O136" s="432"/>
      <c r="P136" s="432"/>
      <c r="Q136" s="432"/>
      <c r="R136" s="432"/>
      <c r="S136" s="432"/>
      <c r="T136" s="432"/>
      <c r="U136" s="432"/>
    </row>
    <row r="137" spans="1:21">
      <c r="A137" s="110"/>
    </row>
    <row r="138" spans="1:21">
      <c r="A138" s="202" t="s">
        <v>583</v>
      </c>
    </row>
    <row r="139" spans="1:21">
      <c r="A139" s="110"/>
      <c r="B139" s="198">
        <v>1</v>
      </c>
      <c r="C139" s="198">
        <v>2</v>
      </c>
      <c r="D139" s="198">
        <v>3</v>
      </c>
      <c r="E139" s="198">
        <v>4</v>
      </c>
      <c r="F139" s="198">
        <v>5</v>
      </c>
      <c r="G139" s="198">
        <v>6</v>
      </c>
      <c r="H139" s="198">
        <v>7</v>
      </c>
      <c r="I139" s="198">
        <v>8</v>
      </c>
      <c r="J139" s="198">
        <v>9</v>
      </c>
      <c r="K139" s="198">
        <v>10</v>
      </c>
      <c r="L139" s="198">
        <v>11</v>
      </c>
      <c r="M139" s="198">
        <v>12</v>
      </c>
      <c r="N139" s="198">
        <v>13</v>
      </c>
      <c r="O139" s="198">
        <v>14</v>
      </c>
      <c r="P139" s="198">
        <v>15</v>
      </c>
      <c r="Q139" s="198">
        <v>16</v>
      </c>
      <c r="R139" s="198">
        <v>17</v>
      </c>
      <c r="S139" s="198">
        <v>18</v>
      </c>
      <c r="T139" s="198">
        <v>19</v>
      </c>
      <c r="U139" s="198">
        <v>20</v>
      </c>
    </row>
    <row r="140" spans="1:21">
      <c r="A140" s="199" t="s">
        <v>303</v>
      </c>
      <c r="B140" s="196">
        <f t="shared" ref="B140:U140" si="78">B12</f>
        <v>122910661.11111112</v>
      </c>
      <c r="C140" s="196">
        <f t="shared" si="78"/>
        <v>127212500</v>
      </c>
      <c r="D140" s="196">
        <f t="shared" si="78"/>
        <v>131664900</v>
      </c>
      <c r="E140" s="196">
        <f t="shared" si="78"/>
        <v>136273200</v>
      </c>
      <c r="F140" s="196">
        <f t="shared" si="78"/>
        <v>141042800</v>
      </c>
      <c r="G140" s="196">
        <f t="shared" si="78"/>
        <v>145979300</v>
      </c>
      <c r="H140" s="196">
        <f t="shared" si="78"/>
        <v>151088600</v>
      </c>
      <c r="I140" s="196">
        <f t="shared" si="78"/>
        <v>156376700</v>
      </c>
      <c r="J140" s="196">
        <f t="shared" si="78"/>
        <v>161849900</v>
      </c>
      <c r="K140" s="196">
        <f t="shared" si="78"/>
        <v>167514600</v>
      </c>
      <c r="L140" s="196">
        <f t="shared" si="78"/>
        <v>173377600</v>
      </c>
      <c r="M140" s="196">
        <f t="shared" si="78"/>
        <v>179445800</v>
      </c>
      <c r="N140" s="196">
        <f t="shared" si="78"/>
        <v>185726400</v>
      </c>
      <c r="O140" s="196">
        <f t="shared" si="78"/>
        <v>192226800</v>
      </c>
      <c r="P140" s="196">
        <f t="shared" si="78"/>
        <v>198954700</v>
      </c>
      <c r="Q140" s="196">
        <f t="shared" si="78"/>
        <v>205918100</v>
      </c>
      <c r="R140" s="196">
        <f t="shared" si="78"/>
        <v>213125200</v>
      </c>
      <c r="S140" s="196">
        <f t="shared" si="78"/>
        <v>220584600</v>
      </c>
      <c r="T140" s="196">
        <f t="shared" si="78"/>
        <v>228305100</v>
      </c>
      <c r="U140" s="196">
        <f t="shared" si="78"/>
        <v>236295800</v>
      </c>
    </row>
    <row r="141" spans="1:21">
      <c r="A141" s="199" t="s">
        <v>304</v>
      </c>
      <c r="B141" s="196">
        <f t="shared" ref="B141:U141" si="79">B13</f>
        <v>4916400</v>
      </c>
      <c r="C141" s="196">
        <f t="shared" si="79"/>
        <v>5088500</v>
      </c>
      <c r="D141" s="196">
        <f t="shared" si="79"/>
        <v>5266600</v>
      </c>
      <c r="E141" s="196">
        <f t="shared" si="79"/>
        <v>5450900</v>
      </c>
      <c r="F141" s="196">
        <f t="shared" si="79"/>
        <v>5641700</v>
      </c>
      <c r="G141" s="196">
        <f t="shared" si="79"/>
        <v>5839200</v>
      </c>
      <c r="H141" s="196">
        <f t="shared" si="79"/>
        <v>6043500</v>
      </c>
      <c r="I141" s="196">
        <f t="shared" si="79"/>
        <v>6255100</v>
      </c>
      <c r="J141" s="196">
        <f t="shared" si="79"/>
        <v>6474000</v>
      </c>
      <c r="K141" s="196">
        <f t="shared" si="79"/>
        <v>6700600</v>
      </c>
      <c r="L141" s="196">
        <f t="shared" si="79"/>
        <v>6935100</v>
      </c>
      <c r="M141" s="196">
        <f t="shared" si="79"/>
        <v>7177800</v>
      </c>
      <c r="N141" s="196">
        <f t="shared" si="79"/>
        <v>7429100</v>
      </c>
      <c r="O141" s="196">
        <f t="shared" si="79"/>
        <v>7689100</v>
      </c>
      <c r="P141" s="196">
        <f t="shared" si="79"/>
        <v>7958200</v>
      </c>
      <c r="Q141" s="196">
        <f t="shared" si="79"/>
        <v>8236700.0000000009</v>
      </c>
      <c r="R141" s="196">
        <f t="shared" si="79"/>
        <v>8525000</v>
      </c>
      <c r="S141" s="196">
        <f t="shared" si="79"/>
        <v>8823400</v>
      </c>
      <c r="T141" s="196">
        <f t="shared" si="79"/>
        <v>9132200</v>
      </c>
      <c r="U141" s="196">
        <f t="shared" si="79"/>
        <v>9451800</v>
      </c>
    </row>
    <row r="142" spans="1:21">
      <c r="A142" s="110"/>
      <c r="B142" s="197">
        <f>B140-B141</f>
        <v>117994261.11111112</v>
      </c>
      <c r="C142" s="197">
        <f>C140-C141</f>
        <v>122124000</v>
      </c>
      <c r="D142" s="197">
        <f t="shared" ref="D142:K142" si="80">D140-D141</f>
        <v>126398300</v>
      </c>
      <c r="E142" s="197">
        <f t="shared" si="80"/>
        <v>130822300</v>
      </c>
      <c r="F142" s="197">
        <f t="shared" si="80"/>
        <v>135401100</v>
      </c>
      <c r="G142" s="197">
        <f t="shared" si="80"/>
        <v>140140100</v>
      </c>
      <c r="H142" s="197">
        <f t="shared" si="80"/>
        <v>145045100</v>
      </c>
      <c r="I142" s="197">
        <f t="shared" si="80"/>
        <v>150121600</v>
      </c>
      <c r="J142" s="197">
        <f t="shared" si="80"/>
        <v>155375900</v>
      </c>
      <c r="K142" s="197">
        <f t="shared" si="80"/>
        <v>160814000</v>
      </c>
      <c r="L142" s="197">
        <f t="shared" ref="L142:U142" si="81">L140-L141</f>
        <v>166442500</v>
      </c>
      <c r="M142" s="197">
        <f t="shared" si="81"/>
        <v>172268000</v>
      </c>
      <c r="N142" s="197">
        <f t="shared" si="81"/>
        <v>178297300</v>
      </c>
      <c r="O142" s="197">
        <f t="shared" si="81"/>
        <v>184537700</v>
      </c>
      <c r="P142" s="197">
        <f t="shared" si="81"/>
        <v>190996500</v>
      </c>
      <c r="Q142" s="197">
        <f t="shared" si="81"/>
        <v>197681400</v>
      </c>
      <c r="R142" s="197">
        <f t="shared" si="81"/>
        <v>204600200</v>
      </c>
      <c r="S142" s="197">
        <f t="shared" si="81"/>
        <v>211761200</v>
      </c>
      <c r="T142" s="197">
        <f t="shared" si="81"/>
        <v>219172900</v>
      </c>
      <c r="U142" s="197">
        <f t="shared" si="81"/>
        <v>226844000</v>
      </c>
    </row>
    <row r="143" spans="1:21">
      <c r="A143" s="199" t="s">
        <v>305</v>
      </c>
      <c r="B143" s="196">
        <f t="shared" ref="B143:U143" si="82">B15</f>
        <v>0</v>
      </c>
      <c r="C143" s="196">
        <f t="shared" si="82"/>
        <v>0</v>
      </c>
      <c r="D143" s="196">
        <f t="shared" si="82"/>
        <v>0</v>
      </c>
      <c r="E143" s="196">
        <f t="shared" si="82"/>
        <v>0</v>
      </c>
      <c r="F143" s="196">
        <f t="shared" si="82"/>
        <v>0</v>
      </c>
      <c r="G143" s="196">
        <f t="shared" si="82"/>
        <v>0</v>
      </c>
      <c r="H143" s="196">
        <f t="shared" si="82"/>
        <v>0</v>
      </c>
      <c r="I143" s="196">
        <f t="shared" si="82"/>
        <v>0</v>
      </c>
      <c r="J143" s="196">
        <f t="shared" si="82"/>
        <v>0</v>
      </c>
      <c r="K143" s="196">
        <f t="shared" si="82"/>
        <v>0</v>
      </c>
      <c r="L143" s="196">
        <f t="shared" si="82"/>
        <v>0</v>
      </c>
      <c r="M143" s="196">
        <f t="shared" si="82"/>
        <v>0</v>
      </c>
      <c r="N143" s="196">
        <f t="shared" si="82"/>
        <v>0</v>
      </c>
      <c r="O143" s="196">
        <f t="shared" si="82"/>
        <v>0</v>
      </c>
      <c r="P143" s="196">
        <f t="shared" si="82"/>
        <v>0</v>
      </c>
      <c r="Q143" s="196">
        <f t="shared" si="82"/>
        <v>0</v>
      </c>
      <c r="R143" s="196">
        <f t="shared" si="82"/>
        <v>0</v>
      </c>
      <c r="S143" s="196">
        <f t="shared" si="82"/>
        <v>0</v>
      </c>
      <c r="T143" s="196">
        <f t="shared" si="82"/>
        <v>0</v>
      </c>
      <c r="U143" s="196">
        <f t="shared" si="82"/>
        <v>0</v>
      </c>
    </row>
    <row r="144" spans="1:21">
      <c r="A144" s="199" t="s">
        <v>306</v>
      </c>
      <c r="B144" s="197">
        <f>B142+B143</f>
        <v>117994261.11111112</v>
      </c>
      <c r="C144" s="197">
        <f t="shared" ref="C144:K144" si="83">C142+C143</f>
        <v>122124000</v>
      </c>
      <c r="D144" s="197">
        <f t="shared" si="83"/>
        <v>126398300</v>
      </c>
      <c r="E144" s="197">
        <f t="shared" si="83"/>
        <v>130822300</v>
      </c>
      <c r="F144" s="197">
        <f t="shared" si="83"/>
        <v>135401100</v>
      </c>
      <c r="G144" s="197">
        <f t="shared" si="83"/>
        <v>140140100</v>
      </c>
      <c r="H144" s="197">
        <f t="shared" si="83"/>
        <v>145045100</v>
      </c>
      <c r="I144" s="197">
        <f t="shared" si="83"/>
        <v>150121600</v>
      </c>
      <c r="J144" s="197">
        <f t="shared" si="83"/>
        <v>155375900</v>
      </c>
      <c r="K144" s="197">
        <f t="shared" si="83"/>
        <v>160814000</v>
      </c>
      <c r="L144" s="197">
        <f t="shared" ref="L144:U144" si="84">L142+L143</f>
        <v>166442500</v>
      </c>
      <c r="M144" s="197">
        <f t="shared" si="84"/>
        <v>172268000</v>
      </c>
      <c r="N144" s="197">
        <f t="shared" si="84"/>
        <v>178297300</v>
      </c>
      <c r="O144" s="197">
        <f t="shared" si="84"/>
        <v>184537700</v>
      </c>
      <c r="P144" s="197">
        <f t="shared" si="84"/>
        <v>190996500</v>
      </c>
      <c r="Q144" s="197">
        <f t="shared" si="84"/>
        <v>197681400</v>
      </c>
      <c r="R144" s="197">
        <f t="shared" si="84"/>
        <v>204600200</v>
      </c>
      <c r="S144" s="197">
        <f t="shared" si="84"/>
        <v>211761200</v>
      </c>
      <c r="T144" s="197">
        <f t="shared" si="84"/>
        <v>219172900</v>
      </c>
      <c r="U144" s="197">
        <f t="shared" si="84"/>
        <v>226844000</v>
      </c>
    </row>
    <row r="145" spans="1:21">
      <c r="A145" s="199"/>
      <c r="B145" s="203"/>
      <c r="C145" s="203"/>
      <c r="D145" s="203"/>
      <c r="E145" s="203"/>
      <c r="F145" s="203"/>
      <c r="G145" s="203"/>
      <c r="H145" s="203"/>
      <c r="I145" s="203"/>
      <c r="J145" s="203"/>
      <c r="K145" s="203"/>
      <c r="L145" s="203"/>
      <c r="M145" s="203"/>
      <c r="N145" s="203"/>
      <c r="O145" s="203"/>
      <c r="P145" s="203"/>
      <c r="Q145" s="203"/>
      <c r="R145" s="203"/>
      <c r="S145" s="203"/>
      <c r="T145" s="203"/>
      <c r="U145" s="203"/>
    </row>
    <row r="146" spans="1:21">
      <c r="A146" s="202" t="s">
        <v>307</v>
      </c>
      <c r="B146" s="110"/>
      <c r="C146" s="110"/>
      <c r="D146" s="110"/>
      <c r="E146" s="110"/>
      <c r="F146" s="110"/>
      <c r="G146" s="110"/>
      <c r="H146" s="110"/>
      <c r="I146" s="110"/>
      <c r="J146" s="110"/>
      <c r="K146" s="110"/>
    </row>
    <row r="147" spans="1:21">
      <c r="A147" s="94" t="s">
        <v>571</v>
      </c>
      <c r="B147" s="200">
        <f t="shared" ref="B147:U147" si="85">B19</f>
        <v>5899713.055555556</v>
      </c>
      <c r="C147" s="200">
        <f t="shared" si="85"/>
        <v>6106200</v>
      </c>
      <c r="D147" s="200">
        <f t="shared" si="85"/>
        <v>6319915</v>
      </c>
      <c r="E147" s="200">
        <f t="shared" si="85"/>
        <v>6541115</v>
      </c>
      <c r="F147" s="200">
        <f t="shared" si="85"/>
        <v>6770055</v>
      </c>
      <c r="G147" s="200">
        <f t="shared" si="85"/>
        <v>7007005</v>
      </c>
      <c r="H147" s="200">
        <f t="shared" si="85"/>
        <v>7252255</v>
      </c>
      <c r="I147" s="200">
        <f t="shared" si="85"/>
        <v>7506080</v>
      </c>
      <c r="J147" s="200">
        <f t="shared" si="85"/>
        <v>7768795</v>
      </c>
      <c r="K147" s="200">
        <f t="shared" si="85"/>
        <v>8040700</v>
      </c>
      <c r="L147" s="196">
        <f t="shared" si="85"/>
        <v>8322125</v>
      </c>
      <c r="M147" s="196">
        <f t="shared" si="85"/>
        <v>8613400</v>
      </c>
      <c r="N147" s="196">
        <f t="shared" si="85"/>
        <v>8914865</v>
      </c>
      <c r="O147" s="196">
        <f t="shared" si="85"/>
        <v>9226885</v>
      </c>
      <c r="P147" s="196">
        <f t="shared" si="85"/>
        <v>9549825</v>
      </c>
      <c r="Q147" s="196">
        <f t="shared" si="85"/>
        <v>9884070</v>
      </c>
      <c r="R147" s="196">
        <f t="shared" si="85"/>
        <v>10230010</v>
      </c>
      <c r="S147" s="196">
        <f t="shared" si="85"/>
        <v>10588060</v>
      </c>
      <c r="T147" s="196">
        <f t="shared" si="85"/>
        <v>10958645</v>
      </c>
      <c r="U147" s="196">
        <f t="shared" si="85"/>
        <v>11342200</v>
      </c>
    </row>
    <row r="148" spans="1:21">
      <c r="A148" s="94" t="s">
        <v>160</v>
      </c>
      <c r="B148" s="200">
        <f t="shared" ref="B148:U148" si="86">B20</f>
        <v>6920000</v>
      </c>
      <c r="C148" s="200">
        <f t="shared" si="86"/>
        <v>7162199.9999999991</v>
      </c>
      <c r="D148" s="200">
        <f t="shared" si="86"/>
        <v>7412876.9999999981</v>
      </c>
      <c r="E148" s="200">
        <f t="shared" si="86"/>
        <v>7672327.6949999975</v>
      </c>
      <c r="F148" s="200">
        <f t="shared" si="86"/>
        <v>7940859.164324997</v>
      </c>
      <c r="G148" s="200">
        <f t="shared" si="86"/>
        <v>8218789.2350763716</v>
      </c>
      <c r="H148" s="200">
        <f t="shared" si="86"/>
        <v>8506446.8583040442</v>
      </c>
      <c r="I148" s="200">
        <f t="shared" si="86"/>
        <v>8804172.4983446859</v>
      </c>
      <c r="J148" s="200">
        <f t="shared" si="86"/>
        <v>9112318.5357867498</v>
      </c>
      <c r="K148" s="200">
        <f t="shared" si="86"/>
        <v>9431249.6845392846</v>
      </c>
      <c r="L148" s="196">
        <f t="shared" si="86"/>
        <v>9761343.4234981593</v>
      </c>
      <c r="M148" s="196">
        <f t="shared" si="86"/>
        <v>10102990.443320595</v>
      </c>
      <c r="N148" s="196">
        <f t="shared" si="86"/>
        <v>10456595.108836815</v>
      </c>
      <c r="O148" s="196">
        <f t="shared" si="86"/>
        <v>10822575.937646102</v>
      </c>
      <c r="P148" s="196">
        <f t="shared" si="86"/>
        <v>11201366.095463715</v>
      </c>
      <c r="Q148" s="196">
        <f t="shared" si="86"/>
        <v>11593413.908804944</v>
      </c>
      <c r="R148" s="196">
        <f t="shared" si="86"/>
        <v>11999183.395613115</v>
      </c>
      <c r="S148" s="196">
        <f t="shared" si="86"/>
        <v>12419154.814459573</v>
      </c>
      <c r="T148" s="196">
        <f t="shared" si="86"/>
        <v>12853825.232965657</v>
      </c>
      <c r="U148" s="196">
        <f t="shared" si="86"/>
        <v>13303709.116119454</v>
      </c>
    </row>
    <row r="149" spans="1:21">
      <c r="A149" s="94" t="s">
        <v>161</v>
      </c>
      <c r="B149" s="200">
        <f t="shared" ref="B149:U149" si="87">B21</f>
        <v>7040000.0000000009</v>
      </c>
      <c r="C149" s="200">
        <f t="shared" si="87"/>
        <v>7286400</v>
      </c>
      <c r="D149" s="200">
        <f t="shared" si="87"/>
        <v>7541423.9999999991</v>
      </c>
      <c r="E149" s="200">
        <f t="shared" si="87"/>
        <v>7805373.839999998</v>
      </c>
      <c r="F149" s="200">
        <f t="shared" si="87"/>
        <v>8078561.9243999971</v>
      </c>
      <c r="G149" s="200">
        <f t="shared" si="87"/>
        <v>8361311.591753996</v>
      </c>
      <c r="H149" s="200">
        <f t="shared" si="87"/>
        <v>8653957.4974653851</v>
      </c>
      <c r="I149" s="200">
        <f t="shared" si="87"/>
        <v>8956846.0098766722</v>
      </c>
      <c r="J149" s="200">
        <f t="shared" si="87"/>
        <v>9270335.6202223543</v>
      </c>
      <c r="K149" s="200">
        <f t="shared" si="87"/>
        <v>9594797.3669301365</v>
      </c>
      <c r="L149" s="196">
        <f t="shared" si="87"/>
        <v>9930615.2747726906</v>
      </c>
      <c r="M149" s="196">
        <f t="shared" si="87"/>
        <v>10278186.809389735</v>
      </c>
      <c r="N149" s="196">
        <f t="shared" si="87"/>
        <v>10637923.347718375</v>
      </c>
      <c r="O149" s="196">
        <f t="shared" si="87"/>
        <v>11010250.664888518</v>
      </c>
      <c r="P149" s="196">
        <f t="shared" si="87"/>
        <v>11395609.438159615</v>
      </c>
      <c r="Q149" s="196">
        <f t="shared" si="87"/>
        <v>11794455.7684952</v>
      </c>
      <c r="R149" s="196">
        <f t="shared" si="87"/>
        <v>12207261.720392531</v>
      </c>
      <c r="S149" s="196">
        <f t="shared" si="87"/>
        <v>12634515.880606268</v>
      </c>
      <c r="T149" s="196">
        <f t="shared" si="87"/>
        <v>13076723.936427485</v>
      </c>
      <c r="U149" s="196">
        <f t="shared" si="87"/>
        <v>13534409.274202446</v>
      </c>
    </row>
    <row r="150" spans="1:21" s="221" customFormat="1">
      <c r="A150" s="273" t="s">
        <v>162</v>
      </c>
      <c r="B150" s="220">
        <f t="shared" ref="B150:U150" si="88">(C325)*Rate_ElecBlended*(1+esc_elect)^B$11+(C333)*Rate_NatGas*(1+esc_gas)^B$11+(C341)*Rate_Steam*(1+esc_steam)^B$11+(C349)*rate_util4*(1+esc_chw)^B$11+(C357)*Rate_Util5*(1+esc_hw)^B$11+(C365)*Rate_util6*(1+esc_oil)^B$11-C446</f>
        <v>10486004.210526315</v>
      </c>
      <c r="C150" s="220">
        <f t="shared" si="88"/>
        <v>10566140.963157894</v>
      </c>
      <c r="D150" s="220">
        <f t="shared" si="88"/>
        <v>10436465.320157895</v>
      </c>
      <c r="E150" s="220">
        <f t="shared" si="88"/>
        <v>10575425.354159474</v>
      </c>
      <c r="F150" s="220">
        <f t="shared" si="88"/>
        <v>10904770.2265581</v>
      </c>
      <c r="G150" s="220">
        <f t="shared" si="88"/>
        <v>11047602.801401602</v>
      </c>
      <c r="H150" s="220">
        <f t="shared" si="88"/>
        <v>11192539.399445092</v>
      </c>
      <c r="I150" s="220">
        <f t="shared" si="88"/>
        <v>9157584.4695454761</v>
      </c>
      <c r="J150" s="220">
        <f t="shared" si="88"/>
        <v>9261579.9036795571</v>
      </c>
      <c r="K150" s="220">
        <f t="shared" si="88"/>
        <v>9366863.6839437485</v>
      </c>
      <c r="L150" s="220">
        <f t="shared" si="88"/>
        <v>9585196.3062908389</v>
      </c>
      <c r="M150" s="220">
        <f t="shared" si="88"/>
        <v>9694725.386746088</v>
      </c>
      <c r="N150" s="220">
        <f t="shared" si="88"/>
        <v>9805623.3003537394</v>
      </c>
      <c r="O150" s="220">
        <f t="shared" si="88"/>
        <v>9917909.2062922698</v>
      </c>
      <c r="P150" s="220">
        <f t="shared" si="88"/>
        <v>10031602.564748881</v>
      </c>
      <c r="Q150" s="220">
        <f t="shared" si="88"/>
        <v>10223056.87131341</v>
      </c>
      <c r="R150" s="220">
        <f t="shared" si="88"/>
        <v>10450233.417456521</v>
      </c>
      <c r="S150" s="220">
        <f t="shared" si="88"/>
        <v>10573218.938364426</v>
      </c>
      <c r="T150" s="220">
        <f t="shared" si="88"/>
        <v>10697803.978216074</v>
      </c>
      <c r="U150" s="220">
        <f t="shared" si="88"/>
        <v>10824011.925475603</v>
      </c>
    </row>
    <row r="151" spans="1:21" s="471" customFormat="1">
      <c r="A151" s="571" t="s">
        <v>580</v>
      </c>
      <c r="B151" s="220">
        <f>IF(Alternatives!$B$58="Yes",B429*'Building Info &amp; Assumptions'!$B$119*(1+'Building Info &amp; Assumptions'!$B$120)^B139,0)</f>
        <v>0</v>
      </c>
      <c r="C151" s="220">
        <f>IF(Alternatives!$B$58="Yes",C429*'Building Info &amp; Assumptions'!$B$119*(1+'Building Info &amp; Assumptions'!$B$120)^C139,0)</f>
        <v>0</v>
      </c>
      <c r="D151" s="220">
        <f>IF(Alternatives!$B$58="Yes",D429*'Building Info &amp; Assumptions'!$B$119*(1+'Building Info &amp; Assumptions'!$B$120)^D139,0)</f>
        <v>0</v>
      </c>
      <c r="E151" s="220">
        <f>IF(Alternatives!$B$58="Yes",E429*'Building Info &amp; Assumptions'!$B$119*(1+'Building Info &amp; Assumptions'!$B$120)^E139,0)</f>
        <v>57427.984439116881</v>
      </c>
      <c r="F151" s="220">
        <f>IF(Alternatives!$B$58="Yes",F429*'Building Info &amp; Assumptions'!$B$119*(1+'Building Info &amp; Assumptions'!$B$120)^F139,0)</f>
        <v>18249.992791019326</v>
      </c>
      <c r="G151" s="220">
        <f>IF(Alternatives!$B$58="Yes",G429*'Building Info &amp; Assumptions'!$B$119*(1+'Building Info &amp; Assumptions'!$B$120)^G139,0)</f>
        <v>0</v>
      </c>
      <c r="H151" s="220">
        <f>IF(Alternatives!$B$58="Yes",H429*'Building Info &amp; Assumptions'!$B$119*(1+'Building Info &amp; Assumptions'!$B$120)^H139,0)</f>
        <v>0</v>
      </c>
      <c r="I151" s="220">
        <f>IF(Alternatives!$B$58="Yes",I429*'Building Info &amp; Assumptions'!$B$119*(1+'Building Info &amp; Assumptions'!$B$120)^I139,0)</f>
        <v>0</v>
      </c>
      <c r="J151" s="220">
        <f>IF(Alternatives!$B$58="Yes",J429*'Building Info &amp; Assumptions'!$B$119*(1+'Building Info &amp; Assumptions'!$B$120)^J139,0)</f>
        <v>0</v>
      </c>
      <c r="K151" s="220">
        <f>IF(Alternatives!$B$58="Yes",K429*'Building Info &amp; Assumptions'!$B$119*(1+'Building Info &amp; Assumptions'!$B$120)^K139,0)</f>
        <v>0</v>
      </c>
      <c r="L151" s="220">
        <f>IF(Alternatives!$B$58="Yes",L429*'Building Info &amp; Assumptions'!$B$119*(1+'Building Info &amp; Assumptions'!$B$120)^L139,0)</f>
        <v>0</v>
      </c>
      <c r="M151" s="220">
        <f>IF(Alternatives!$B$58="Yes",M429*'Building Info &amp; Assumptions'!$B$119*(1+'Building Info &amp; Assumptions'!$B$120)^M139,0)</f>
        <v>0</v>
      </c>
      <c r="N151" s="220">
        <f>IF(Alternatives!$B$58="Yes",N429*'Building Info &amp; Assumptions'!$B$119*(1+'Building Info &amp; Assumptions'!$B$120)^N139,0)</f>
        <v>0</v>
      </c>
      <c r="O151" s="220">
        <f>IF(Alternatives!$B$58="Yes",O429*'Building Info &amp; Assumptions'!$B$119*(1+'Building Info &amp; Assumptions'!$B$120)^O139,0)</f>
        <v>0</v>
      </c>
      <c r="P151" s="220">
        <f>IF(Alternatives!$B$58="Yes",P429*'Building Info &amp; Assumptions'!$B$119*(1+'Building Info &amp; Assumptions'!$B$120)^P139,0)</f>
        <v>138297.27676002838</v>
      </c>
      <c r="Q151" s="220">
        <f>IF(Alternatives!$B$58="Yes",Q429*'Building Info &amp; Assumptions'!$B$119*(1+'Building Info &amp; Assumptions'!$B$120)^Q139,0)</f>
        <v>122976.77063066015</v>
      </c>
      <c r="R151" s="220">
        <f>IF(Alternatives!$B$58="Yes",R429*'Building Info &amp; Assumptions'!$B$119*(1+'Building Info &amp; Assumptions'!$B$120)^R139,0)</f>
        <v>108242.15390567388</v>
      </c>
      <c r="S151" s="220">
        <f>IF(Alternatives!$B$58="Yes",S429*'Building Info &amp; Assumptions'!$B$119*(1+'Building Info &amp; Assumptions'!$B$120)^S139,0)</f>
        <v>100346.14833722619</v>
      </c>
      <c r="T151" s="220">
        <f>IF(Alternatives!$B$58="Yes",T429*'Building Info &amp; Assumptions'!$B$119*(1+'Building Info &amp; Assumptions'!$B$120)^T139,0)</f>
        <v>83414.526061109325</v>
      </c>
      <c r="U151" s="220">
        <f>IF(Alternatives!$B$58="Yes",U429*'Building Info &amp; Assumptions'!$B$119*(1+'Building Info &amp; Assumptions'!$B$120)^U139,0)</f>
        <v>65765.500434612899</v>
      </c>
    </row>
    <row r="152" spans="1:21" s="471" customFormat="1">
      <c r="A152" s="571" t="s">
        <v>581</v>
      </c>
      <c r="B152" s="272">
        <f>B409</f>
        <v>0</v>
      </c>
      <c r="C152" s="272">
        <f t="shared" ref="C152:U152" si="89">C409</f>
        <v>0</v>
      </c>
      <c r="D152" s="272">
        <f t="shared" si="89"/>
        <v>0</v>
      </c>
      <c r="E152" s="272">
        <f t="shared" si="89"/>
        <v>0</v>
      </c>
      <c r="F152" s="272">
        <f t="shared" si="89"/>
        <v>0</v>
      </c>
      <c r="G152" s="272">
        <f t="shared" si="89"/>
        <v>0</v>
      </c>
      <c r="H152" s="272">
        <f t="shared" si="89"/>
        <v>0</v>
      </c>
      <c r="I152" s="272">
        <f t="shared" si="89"/>
        <v>0</v>
      </c>
      <c r="J152" s="272">
        <f t="shared" si="89"/>
        <v>0</v>
      </c>
      <c r="K152" s="272">
        <f t="shared" si="89"/>
        <v>0</v>
      </c>
      <c r="L152" s="272">
        <f t="shared" si="89"/>
        <v>0</v>
      </c>
      <c r="M152" s="272">
        <f t="shared" si="89"/>
        <v>0</v>
      </c>
      <c r="N152" s="272">
        <f t="shared" si="89"/>
        <v>0</v>
      </c>
      <c r="O152" s="272">
        <f t="shared" si="89"/>
        <v>0</v>
      </c>
      <c r="P152" s="272">
        <f t="shared" si="89"/>
        <v>0</v>
      </c>
      <c r="Q152" s="272">
        <f t="shared" si="89"/>
        <v>0</v>
      </c>
      <c r="R152" s="272">
        <f t="shared" si="89"/>
        <v>0</v>
      </c>
      <c r="S152" s="272">
        <f t="shared" si="89"/>
        <v>0</v>
      </c>
      <c r="T152" s="272">
        <f t="shared" si="89"/>
        <v>0</v>
      </c>
      <c r="U152" s="272">
        <f t="shared" si="89"/>
        <v>0</v>
      </c>
    </row>
    <row r="153" spans="1:21">
      <c r="A153" s="94" t="s">
        <v>163</v>
      </c>
      <c r="B153" s="200">
        <f t="shared" ref="B153:U153" si="90">B23</f>
        <v>7040000.0000000009</v>
      </c>
      <c r="C153" s="200">
        <f t="shared" si="90"/>
        <v>7286400</v>
      </c>
      <c r="D153" s="200">
        <f t="shared" si="90"/>
        <v>7541423.9999999991</v>
      </c>
      <c r="E153" s="200">
        <f t="shared" si="90"/>
        <v>7805373.839999998</v>
      </c>
      <c r="F153" s="200">
        <f t="shared" si="90"/>
        <v>8078561.9243999971</v>
      </c>
      <c r="G153" s="200">
        <f t="shared" si="90"/>
        <v>8361311.591753996</v>
      </c>
      <c r="H153" s="200">
        <f t="shared" si="90"/>
        <v>8653957.4974653851</v>
      </c>
      <c r="I153" s="200">
        <f t="shared" si="90"/>
        <v>8956846.0098766722</v>
      </c>
      <c r="J153" s="200">
        <f t="shared" si="90"/>
        <v>9270335.6202223543</v>
      </c>
      <c r="K153" s="200">
        <f t="shared" si="90"/>
        <v>9594797.3669301365</v>
      </c>
      <c r="L153" s="196">
        <f t="shared" si="90"/>
        <v>9930615.2747726906</v>
      </c>
      <c r="M153" s="196">
        <f t="shared" si="90"/>
        <v>10278186.809389735</v>
      </c>
      <c r="N153" s="196">
        <f t="shared" si="90"/>
        <v>10637923.347718375</v>
      </c>
      <c r="O153" s="196">
        <f t="shared" si="90"/>
        <v>11010250.664888518</v>
      </c>
      <c r="P153" s="196">
        <f t="shared" si="90"/>
        <v>11395609.438159615</v>
      </c>
      <c r="Q153" s="196">
        <f t="shared" si="90"/>
        <v>11794455.7684952</v>
      </c>
      <c r="R153" s="196">
        <f t="shared" si="90"/>
        <v>12207261.720392531</v>
      </c>
      <c r="S153" s="196">
        <f t="shared" si="90"/>
        <v>12634515.880606268</v>
      </c>
      <c r="T153" s="196">
        <f t="shared" si="90"/>
        <v>13076723.936427485</v>
      </c>
      <c r="U153" s="196">
        <f t="shared" si="90"/>
        <v>13534409.274202446</v>
      </c>
    </row>
    <row r="154" spans="1:21">
      <c r="A154" s="94" t="s">
        <v>164</v>
      </c>
      <c r="B154" s="200">
        <f t="shared" ref="B154:U154" si="91">B24</f>
        <v>6680000</v>
      </c>
      <c r="C154" s="200">
        <f t="shared" si="91"/>
        <v>6913799.9999999991</v>
      </c>
      <c r="D154" s="200">
        <f t="shared" si="91"/>
        <v>7155782.9999999981</v>
      </c>
      <c r="E154" s="200">
        <f t="shared" si="91"/>
        <v>7406235.4049999975</v>
      </c>
      <c r="F154" s="200">
        <f t="shared" si="91"/>
        <v>7665453.6441749968</v>
      </c>
      <c r="G154" s="200">
        <f t="shared" si="91"/>
        <v>7933744.5217211209</v>
      </c>
      <c r="H154" s="200">
        <f t="shared" si="91"/>
        <v>8211425.5799813597</v>
      </c>
      <c r="I154" s="200">
        <f t="shared" si="91"/>
        <v>8498825.4752807058</v>
      </c>
      <c r="J154" s="200">
        <f t="shared" si="91"/>
        <v>8796284.3669155296</v>
      </c>
      <c r="K154" s="200">
        <f t="shared" si="91"/>
        <v>9104154.3197575733</v>
      </c>
      <c r="L154" s="196">
        <f t="shared" si="91"/>
        <v>9422799.7209490873</v>
      </c>
      <c r="M154" s="196">
        <f t="shared" si="91"/>
        <v>9752597.7111823037</v>
      </c>
      <c r="N154" s="196">
        <f t="shared" si="91"/>
        <v>10093938.631073684</v>
      </c>
      <c r="O154" s="196">
        <f t="shared" si="91"/>
        <v>10447226.483161261</v>
      </c>
      <c r="P154" s="196">
        <f t="shared" si="91"/>
        <v>10812879.410071904</v>
      </c>
      <c r="Q154" s="196">
        <f t="shared" si="91"/>
        <v>11191330.18942442</v>
      </c>
      <c r="R154" s="196">
        <f t="shared" si="91"/>
        <v>11583026.746054273</v>
      </c>
      <c r="S154" s="196">
        <f t="shared" si="91"/>
        <v>11988432.682166172</v>
      </c>
      <c r="T154" s="196">
        <f t="shared" si="91"/>
        <v>12408027.826041987</v>
      </c>
      <c r="U154" s="196">
        <f t="shared" si="91"/>
        <v>12842308.799953455</v>
      </c>
    </row>
    <row r="155" spans="1:21">
      <c r="A155" s="94" t="s">
        <v>165</v>
      </c>
      <c r="B155" s="200">
        <f t="shared" ref="B155:U155" si="92">B25</f>
        <v>2279999.9999999995</v>
      </c>
      <c r="C155" s="200">
        <f t="shared" si="92"/>
        <v>2359799.9999999995</v>
      </c>
      <c r="D155" s="200">
        <f t="shared" si="92"/>
        <v>2442392.9999999995</v>
      </c>
      <c r="E155" s="200">
        <f t="shared" si="92"/>
        <v>2527876.7549999994</v>
      </c>
      <c r="F155" s="200">
        <f t="shared" si="92"/>
        <v>2616352.4414249994</v>
      </c>
      <c r="G155" s="200">
        <f t="shared" si="92"/>
        <v>2707924.7768748743</v>
      </c>
      <c r="H155" s="200">
        <f t="shared" si="92"/>
        <v>2802702.1440654946</v>
      </c>
      <c r="I155" s="200">
        <f t="shared" si="92"/>
        <v>2900796.7191077867</v>
      </c>
      <c r="J155" s="200">
        <f t="shared" si="92"/>
        <v>3002324.6042765588</v>
      </c>
      <c r="K155" s="200">
        <f t="shared" si="92"/>
        <v>3107405.9654262383</v>
      </c>
      <c r="L155" s="196">
        <f t="shared" si="92"/>
        <v>3216165.1742161564</v>
      </c>
      <c r="M155" s="196">
        <f t="shared" si="92"/>
        <v>3328730.9553137217</v>
      </c>
      <c r="N155" s="196">
        <f t="shared" si="92"/>
        <v>3445236.5387497018</v>
      </c>
      <c r="O155" s="196">
        <f t="shared" si="92"/>
        <v>3565819.8176059411</v>
      </c>
      <c r="P155" s="196">
        <f t="shared" si="92"/>
        <v>3690623.5112221488</v>
      </c>
      <c r="Q155" s="196">
        <f t="shared" si="92"/>
        <v>3819795.3341149236</v>
      </c>
      <c r="R155" s="196">
        <f t="shared" si="92"/>
        <v>3953488.1708089458</v>
      </c>
      <c r="S155" s="196">
        <f t="shared" si="92"/>
        <v>4091860.2567872587</v>
      </c>
      <c r="T155" s="196">
        <f t="shared" si="92"/>
        <v>4235075.3657748122</v>
      </c>
      <c r="U155" s="196">
        <f t="shared" si="92"/>
        <v>4383303.0035769306</v>
      </c>
    </row>
    <row r="156" spans="1:21">
      <c r="A156" s="94" t="s">
        <v>166</v>
      </c>
      <c r="B156" s="200">
        <f t="shared" ref="B156:U156" si="93">B26</f>
        <v>2900000</v>
      </c>
      <c r="C156" s="200">
        <f t="shared" si="93"/>
        <v>3001500</v>
      </c>
      <c r="D156" s="200">
        <f t="shared" si="93"/>
        <v>3106552.4999999995</v>
      </c>
      <c r="E156" s="200">
        <f t="shared" si="93"/>
        <v>3215281.8374999994</v>
      </c>
      <c r="F156" s="200">
        <f t="shared" si="93"/>
        <v>3327816.7018124992</v>
      </c>
      <c r="G156" s="200">
        <f t="shared" si="93"/>
        <v>3444290.2863759366</v>
      </c>
      <c r="H156" s="200">
        <f t="shared" si="93"/>
        <v>3564840.4463990941</v>
      </c>
      <c r="I156" s="200">
        <f t="shared" si="93"/>
        <v>3689609.8620230621</v>
      </c>
      <c r="J156" s="200">
        <f t="shared" si="93"/>
        <v>3818746.2071938692</v>
      </c>
      <c r="K156" s="200">
        <f t="shared" si="93"/>
        <v>3952402.3244456542</v>
      </c>
      <c r="L156" s="196">
        <f t="shared" si="93"/>
        <v>4090736.4058012515</v>
      </c>
      <c r="M156" s="196">
        <f t="shared" si="93"/>
        <v>4233912.180004295</v>
      </c>
      <c r="N156" s="196">
        <f t="shared" si="93"/>
        <v>4382099.1063044453</v>
      </c>
      <c r="O156" s="196">
        <f t="shared" si="93"/>
        <v>4535472.5750251003</v>
      </c>
      <c r="P156" s="196">
        <f t="shared" si="93"/>
        <v>4694214.1151509788</v>
      </c>
      <c r="Q156" s="196">
        <f t="shared" si="93"/>
        <v>4858511.6091812626</v>
      </c>
      <c r="R156" s="196">
        <f t="shared" si="93"/>
        <v>5028559.5155026065</v>
      </c>
      <c r="S156" s="196">
        <f t="shared" si="93"/>
        <v>5204559.0985451974</v>
      </c>
      <c r="T156" s="196">
        <f t="shared" si="93"/>
        <v>5386718.6669942793</v>
      </c>
      <c r="U156" s="196">
        <f t="shared" si="93"/>
        <v>5575253.820339079</v>
      </c>
    </row>
    <row r="157" spans="1:21">
      <c r="A157" s="94" t="s">
        <v>572</v>
      </c>
      <c r="B157" s="200">
        <f>+'Building Info &amp; Assumptions'!B$409</f>
        <v>0</v>
      </c>
      <c r="C157" s="200">
        <f>+'Building Info &amp; Assumptions'!C$409</f>
        <v>0</v>
      </c>
      <c r="D157" s="200">
        <f>+'Building Info &amp; Assumptions'!D$409</f>
        <v>0</v>
      </c>
      <c r="E157" s="200">
        <f>+'Building Info &amp; Assumptions'!E$409</f>
        <v>0</v>
      </c>
      <c r="F157" s="200">
        <f>+'Building Info &amp; Assumptions'!F$409</f>
        <v>0</v>
      </c>
      <c r="G157" s="200">
        <f>+'Building Info &amp; Assumptions'!G$409</f>
        <v>0</v>
      </c>
      <c r="H157" s="200">
        <f>+'Building Info &amp; Assumptions'!H$409</f>
        <v>0</v>
      </c>
      <c r="I157" s="200">
        <f>+'Building Info &amp; Assumptions'!I$409</f>
        <v>0</v>
      </c>
      <c r="J157" s="200">
        <f>+'Building Info &amp; Assumptions'!J$409</f>
        <v>0</v>
      </c>
      <c r="K157" s="200">
        <f>+'Building Info &amp; Assumptions'!K$409</f>
        <v>0</v>
      </c>
      <c r="L157" s="200">
        <f>+'Building Info &amp; Assumptions'!L$409</f>
        <v>0</v>
      </c>
      <c r="M157" s="200">
        <f>+'Building Info &amp; Assumptions'!M$409</f>
        <v>0</v>
      </c>
      <c r="N157" s="200">
        <f>+'Building Info &amp; Assumptions'!N$409</f>
        <v>0</v>
      </c>
      <c r="O157" s="200">
        <f>+'Building Info &amp; Assumptions'!O$409</f>
        <v>0</v>
      </c>
      <c r="P157" s="200">
        <f>+'Building Info &amp; Assumptions'!P$409</f>
        <v>0</v>
      </c>
      <c r="Q157" s="200">
        <f>+'Building Info &amp; Assumptions'!Q$409</f>
        <v>0</v>
      </c>
      <c r="R157" s="200">
        <f>+'Building Info &amp; Assumptions'!R$409</f>
        <v>0</v>
      </c>
      <c r="S157" s="200">
        <f>+'Building Info &amp; Assumptions'!S$409</f>
        <v>0</v>
      </c>
      <c r="T157" s="200">
        <f>+'Building Info &amp; Assumptions'!T$409</f>
        <v>0</v>
      </c>
      <c r="U157" s="200">
        <f>+'Building Info &amp; Assumptions'!U$409</f>
        <v>0</v>
      </c>
    </row>
    <row r="158" spans="1:21">
      <c r="A158" s="274" t="s">
        <v>6</v>
      </c>
      <c r="B158" s="200">
        <f>SUMIF(Alternatives!$I$38:$I$57,B139,Alternatives!$G$38:$G$57)</f>
        <v>0</v>
      </c>
      <c r="C158" s="200">
        <f>SUMIF(Alternatives!$I$38:$I$57,C139,Alternatives!$G$38:$G$57)*(1+'Building Info &amp; Assumptions'!$E$77)^B139</f>
        <v>0</v>
      </c>
      <c r="D158" s="200">
        <f>SUMIF(Alternatives!$I$38:$I$57,D139,Alternatives!$G$38:$G$57)*(1+'Building Info &amp; Assumptions'!$E$77)^C139</f>
        <v>0</v>
      </c>
      <c r="E158" s="200">
        <f>SUMIF(Alternatives!$I$38:$I$57,E139,Alternatives!$G$38:$G$57)*(1+'Building Info &amp; Assumptions'!$E$77)^D139</f>
        <v>0</v>
      </c>
      <c r="F158" s="200">
        <f>SUMIF(Alternatives!$I$38:$I$57,F139,Alternatives!$G$38:$G$57)*(1+'Building Info &amp; Assumptions'!$E$77)^E139</f>
        <v>0</v>
      </c>
      <c r="G158" s="200">
        <f>SUMIF(Alternatives!$I$38:$I$57,G139,Alternatives!$G$38:$G$57)*(1+'Building Info &amp; Assumptions'!$E$77)^F139</f>
        <v>0</v>
      </c>
      <c r="H158" s="200">
        <f>SUMIF(Alternatives!$I$38:$I$57,H139,Alternatives!$G$38:$G$57)*(1+'Building Info &amp; Assumptions'!$E$77)^G139</f>
        <v>0</v>
      </c>
      <c r="I158" s="200">
        <f>SUMIF(Alternatives!$I$38:$I$57,I139,Alternatives!$G$38:$G$57)*(1+'Building Info &amp; Assumptions'!$E$77)^H139</f>
        <v>0</v>
      </c>
      <c r="J158" s="200">
        <f>SUMIF(Alternatives!$I$38:$I$57,J139,Alternatives!$G$38:$G$57)*(1+'Building Info &amp; Assumptions'!$E$77)^I139</f>
        <v>0</v>
      </c>
      <c r="K158" s="200">
        <f>SUMIF(Alternatives!$I$38:$I$57,K139,Alternatives!$G$38:$G$57)*(1+'Building Info &amp; Assumptions'!$E$77)^J139</f>
        <v>0</v>
      </c>
      <c r="L158" s="196">
        <f>SUMIF(Alternatives!$I$38:$I$57,L139,Alternatives!$G$38:$G$57)*(1+'Building Info &amp; Assumptions'!$E$77)^K139</f>
        <v>0</v>
      </c>
      <c r="M158" s="196">
        <f>SUMIF(Alternatives!$I$38:$I$57,M139,Alternatives!$G$38:$G$57)*(1+'Building Info &amp; Assumptions'!$E$77)^L139</f>
        <v>0</v>
      </c>
      <c r="N158" s="196">
        <f>SUMIF(Alternatives!$I$38:$I$57,N139,Alternatives!$G$38:$G$57)*(1+'Building Info &amp; Assumptions'!$E$77)^M139</f>
        <v>0</v>
      </c>
      <c r="O158" s="196">
        <f>SUMIF(Alternatives!$I$38:$I$57,O139,Alternatives!$G$38:$G$57)*(1+'Building Info &amp; Assumptions'!$E$77)^N139</f>
        <v>0</v>
      </c>
      <c r="P158" s="196">
        <f>SUMIF(Alternatives!$I$38:$I$57,P139,Alternatives!$G$38:$G$57)*(1+'Building Info &amp; Assumptions'!$E$77)^O139</f>
        <v>0</v>
      </c>
      <c r="Q158" s="196">
        <f>SUMIF(Alternatives!$I$38:$I$57,Q139,Alternatives!$G$38:$G$57)*(1+'Building Info &amp; Assumptions'!$E$77)^P139</f>
        <v>0</v>
      </c>
      <c r="R158" s="196">
        <f>SUMIF(Alternatives!$I$38:$I$57,R139,Alternatives!$G$38:$G$57)*(1+'Building Info &amp; Assumptions'!$E$77)^Q139</f>
        <v>0</v>
      </c>
      <c r="S158" s="196">
        <f>SUMIF(Alternatives!$I$38:$I$57,S139,Alternatives!$G$38:$G$57)*(1+'Building Info &amp; Assumptions'!$E$77)^R139</f>
        <v>0</v>
      </c>
      <c r="T158" s="196">
        <f>SUMIF(Alternatives!$I$38:$I$57,T139,Alternatives!$G$38:$G$57)*(1+'Building Info &amp; Assumptions'!$E$77)^S139</f>
        <v>0</v>
      </c>
      <c r="U158" s="196">
        <f>SUMIF(Alternatives!$I$38:$I$57,U139,Alternatives!$G$38:$G$57)*(1+'Building Info &amp; Assumptions'!$E$77)^T139</f>
        <v>0</v>
      </c>
    </row>
    <row r="159" spans="1:21" s="221" customFormat="1">
      <c r="A159" s="271" t="s">
        <v>5</v>
      </c>
      <c r="B159" s="272">
        <f>SUMIF(Alternatives!$I$38:$I$57,B139,Alternatives!$F$38:$F$57)</f>
        <v>700000</v>
      </c>
      <c r="C159" s="272">
        <f>SUMIF(Alternatives!$I$38:$I$57,C139,Alternatives!$F$38:$F$57)*(1+'Building Info &amp; Assumptions'!$E$77)^B139</f>
        <v>1552499.9999999998</v>
      </c>
      <c r="D159" s="272">
        <f>SUMIF(Alternatives!$I$38:$I$57,D139,Alternatives!$F$38:$F$57)*(1+'Building Info &amp; Assumptions'!$E$77)^C139</f>
        <v>3213674.9999999995</v>
      </c>
      <c r="E159" s="272">
        <f>SUMIF(Alternatives!$I$38:$I$57,E139,Alternatives!$F$38:$F$57)*(1+'Building Info &amp; Assumptions'!$E$77)^D139</f>
        <v>0</v>
      </c>
      <c r="F159" s="272">
        <f>SUMIF(Alternatives!$I$38:$I$57,F139,Alternatives!$F$38:$F$57)*(1+'Building Info &amp; Assumptions'!$E$77)^E139</f>
        <v>4245835.1023124987</v>
      </c>
      <c r="G159" s="272">
        <f>SUMIF(Alternatives!$I$38:$I$57,G139,Alternatives!$F$38:$F$57)*(1+'Building Info &amp; Assumptions'!$E$77)^F139</f>
        <v>0</v>
      </c>
      <c r="H159" s="272">
        <f>SUMIF(Alternatives!$I$38:$I$57,H139,Alternatives!$F$38:$F$57)*(1+'Building Info &amp; Assumptions'!$E$77)^G139</f>
        <v>0</v>
      </c>
      <c r="I159" s="272">
        <f>SUMIF(Alternatives!$I$38:$I$57,I139,Alternatives!$F$38:$F$57)*(1+'Building Info &amp; Assumptions'!$E$77)^H139</f>
        <v>31806981.569164328</v>
      </c>
      <c r="J159" s="272">
        <f>SUMIF(Alternatives!$I$38:$I$57,J139,Alternatives!$F$38:$F$57)*(1+'Building Info &amp; Assumptions'!$E$77)^I139</f>
        <v>0</v>
      </c>
      <c r="K159" s="272">
        <f>SUMIF(Alternatives!$I$38:$I$57,K139,Alternatives!$F$38:$F$57)*(1+'Building Info &amp; Assumptions'!$E$77)^J139</f>
        <v>0</v>
      </c>
      <c r="L159" s="272">
        <f>SUMIF(Alternatives!$I$38:$I$57,L139,Alternatives!$F$38:$F$57)*(1+'Building Info &amp; Assumptions'!$E$77)^K139</f>
        <v>0</v>
      </c>
      <c r="M159" s="272">
        <f>SUMIF(Alternatives!$I$38:$I$57,M139,Alternatives!$F$38:$F$57)*(1+'Building Info &amp; Assumptions'!$E$77)^L139</f>
        <v>0</v>
      </c>
      <c r="N159" s="272">
        <f>SUMIF(Alternatives!$I$38:$I$57,N139,Alternatives!$F$38:$F$57)*(1+'Building Info &amp; Assumptions'!$E$77)^M139</f>
        <v>0</v>
      </c>
      <c r="O159" s="272">
        <f>SUMIF(Alternatives!$I$38:$I$57,O139,Alternatives!$F$38:$F$57)*(1+'Building Info &amp; Assumptions'!$E$77)^N139</f>
        <v>0</v>
      </c>
      <c r="P159" s="272">
        <f>SUMIF(Alternatives!$I$38:$I$57,P139,Alternatives!$F$38:$F$57)*(1+'Building Info &amp; Assumptions'!$E$77)^O139</f>
        <v>0</v>
      </c>
      <c r="Q159" s="272">
        <f>SUMIF(Alternatives!$I$38:$I$57,Q139,Alternatives!$F$38:$F$57)*(1+'Building Info &amp; Assumptions'!$E$77)^P139</f>
        <v>0</v>
      </c>
      <c r="R159" s="272">
        <f>SUMIF(Alternatives!$I$38:$I$57,R139,Alternatives!$F$38:$F$57)*(1+'Building Info &amp; Assumptions'!$E$77)^Q139</f>
        <v>0</v>
      </c>
      <c r="S159" s="272">
        <f>SUMIF(Alternatives!$I$38:$I$57,S139,Alternatives!$F$38:$F$57)*(1+'Building Info &amp; Assumptions'!$E$77)^R139</f>
        <v>0</v>
      </c>
      <c r="T159" s="272">
        <f>SUMIF(Alternatives!$I$38:$I$57,T139,Alternatives!$F$38:$F$57)*(1+'Building Info &amp; Assumptions'!$E$77)^S139</f>
        <v>0</v>
      </c>
      <c r="U159" s="272">
        <f>SUMIF(Alternatives!$I$38:$I$57,U139,Alternatives!$F$38:$F$57)*(1+'Building Info &amp; Assumptions'!$E$77)^T139</f>
        <v>0</v>
      </c>
    </row>
    <row r="160" spans="1:21">
      <c r="A160" s="110"/>
      <c r="B160" s="204"/>
      <c r="C160" s="205"/>
      <c r="D160" s="205"/>
      <c r="E160" s="205"/>
      <c r="F160" s="205"/>
      <c r="G160" s="205"/>
      <c r="H160" s="205"/>
      <c r="I160" s="205"/>
      <c r="J160" s="205"/>
      <c r="K160" s="205"/>
      <c r="L160" s="205"/>
      <c r="M160" s="205"/>
      <c r="N160" s="205"/>
      <c r="O160" s="205"/>
      <c r="P160" s="205"/>
      <c r="Q160" s="205"/>
      <c r="R160" s="205"/>
      <c r="S160" s="205"/>
      <c r="T160" s="205"/>
      <c r="U160" s="205"/>
    </row>
    <row r="161" spans="1:21" s="110" customFormat="1">
      <c r="A161" s="571" t="s">
        <v>573</v>
      </c>
      <c r="B161" s="220">
        <f>-SUMIFS(Alternatives!$D$38:$D$57,Alternatives!$I$38:$I$57,B139,Alternatives!$H$38:$H$57,"Yes")</f>
        <v>-80000</v>
      </c>
      <c r="C161" s="220">
        <f>IF($B$6&gt;=C139, (B161*(1+'Building Info &amp; Assumptions'!$E$77))-SUMIFS(Alternatives!$D$38:$D$57,Alternatives!$I$38:$I$57,C139,Alternatives!$H$38:$H$57,"Yes")*(1+'Building Info &amp; Assumptions'!$E$77)^B139, 0)</f>
        <v>-170775</v>
      </c>
      <c r="D161" s="220">
        <f>IF($B$6&gt;=D139, (C161*(1+'Building Info &amp; Assumptions'!$E$77))-SUMIFS(Alternatives!$D$38:$D$57,Alternatives!$I$38:$I$57,D139,Alternatives!$H$38:$H$57,"Yes")*(1+'Building Info &amp; Assumptions'!$E$77)^C139, 0)</f>
        <v>-176752.125</v>
      </c>
      <c r="E161" s="220">
        <f>IF($B$6&gt;=E139, (D161*(1+'Building Info &amp; Assumptions'!$E$77))-SUMIFS(Alternatives!$D$38:$D$57,Alternatives!$I$38:$I$57,E139,Alternatives!$H$38:$H$57,"Yes")*(1+'Building Info &amp; Assumptions'!$E$77)^D139, 0)</f>
        <v>-182938.449375</v>
      </c>
      <c r="F161" s="220">
        <f>IF($B$6&gt;=F139, (E161*(1+'Building Info &amp; Assumptions'!$E$77))-SUMIFS(Alternatives!$D$38:$D$57,Alternatives!$I$38:$I$57,F139,Alternatives!$H$38:$H$57,"Yes")*(1+'Building Info &amp; Assumptions'!$E$77)^E139, 0)</f>
        <v>-189341.29510312498</v>
      </c>
      <c r="G161" s="220">
        <f>IF($B$6&gt;=G139, (F161*(1+'Building Info &amp; Assumptions'!$E$77))-SUMIFS(Alternatives!$D$38:$D$57,Alternatives!$I$38:$I$57,G139,Alternatives!$H$38:$H$57,"Yes")*(1+'Building Info &amp; Assumptions'!$E$77)^F139, 0)</f>
        <v>-195968.24043173433</v>
      </c>
      <c r="H161" s="220">
        <f>IF($B$6&gt;=H139, (G161*(1+'Building Info &amp; Assumptions'!$E$77))-SUMIFS(Alternatives!$D$38:$D$57,Alternatives!$I$38:$I$57,H139,Alternatives!$H$38:$H$57,"Yes")*(1+'Building Info &amp; Assumptions'!$E$77)^G139, 0)</f>
        <v>-202827.12884684501</v>
      </c>
      <c r="I161" s="220">
        <f>IF($B$6&gt;=I139, (H161*(1+'Building Info &amp; Assumptions'!$E$77))-SUMIFS(Alternatives!$D$38:$D$57,Alternatives!$I$38:$I$57,I139,Alternatives!$H$38:$H$57,"Yes")*(1+'Building Info &amp; Assumptions'!$E$77)^H139, 0)</f>
        <v>-209926.07835648456</v>
      </c>
      <c r="J161" s="220">
        <f>IF($B$6&gt;=J139, (I161*(1+'Building Info &amp; Assumptions'!$E$77))-SUMIFS(Alternatives!$D$38:$D$57,Alternatives!$I$38:$I$57,J139,Alternatives!$H$38:$H$57,"Yes")*(1+'Building Info &amp; Assumptions'!$E$77)^I139, 0)</f>
        <v>-217273.4910989615</v>
      </c>
      <c r="K161" s="220">
        <f>IF($B$6&gt;=K139, (J161*(1+'Building Info &amp; Assumptions'!$E$77))-SUMIFS(Alternatives!$D$38:$D$57,Alternatives!$I$38:$I$57,K139,Alternatives!$H$38:$H$57,"Yes")*(1+'Building Info &amp; Assumptions'!$E$77)^J139, 0)</f>
        <v>-224878.06328742515</v>
      </c>
      <c r="L161" s="220">
        <f>IF($B$6&gt;=L139, (K161*(1+'Building Info &amp; Assumptions'!$E$77))-SUMIFS(Alternatives!$D$38:$D$57,Alternatives!$I$38:$I$57,L139,Alternatives!$H$38:$H$57,"Yes")*(1+'Building Info &amp; Assumptions'!$E$77)^K139, 0)</f>
        <v>-232748.79550248501</v>
      </c>
      <c r="M161" s="220">
        <f>IF($B$6&gt;=M139, (L161*(1+'Building Info &amp; Assumptions'!$E$77))-SUMIFS(Alternatives!$D$38:$D$57,Alternatives!$I$38:$I$57,M139,Alternatives!$H$38:$H$57,"Yes")*(1+'Building Info &amp; Assumptions'!$E$77)^L139, 0)</f>
        <v>-240895.00334507198</v>
      </c>
      <c r="N161" s="220">
        <f>IF($B$6&gt;=N139, (M161*(1+'Building Info &amp; Assumptions'!$E$77))-SUMIFS(Alternatives!$D$38:$D$57,Alternatives!$I$38:$I$57,N139,Alternatives!$H$38:$H$57,"Yes")*(1+'Building Info &amp; Assumptions'!$E$77)^M139, 0)</f>
        <v>-249326.32846214948</v>
      </c>
      <c r="O161" s="220">
        <f>IF($B$6&gt;=O139, (N161*(1+'Building Info &amp; Assumptions'!$E$77))-SUMIFS(Alternatives!$D$38:$D$57,Alternatives!$I$38:$I$57,O139,Alternatives!$H$38:$H$57,"Yes")*(1+'Building Info &amp; Assumptions'!$E$77)^N139, 0)</f>
        <v>-258052.74995832468</v>
      </c>
      <c r="P161" s="220">
        <f>IF($B$6&gt;=P139, (O161*(1+'Building Info &amp; Assumptions'!$E$77))-SUMIFS(Alternatives!$D$38:$D$57,Alternatives!$I$38:$I$57,P139,Alternatives!$H$38:$H$57,"Yes")*(1+'Building Info &amp; Assumptions'!$E$77)^O139, 0)</f>
        <v>-267084.59620686603</v>
      </c>
      <c r="Q161" s="220">
        <f>IF($B$6&gt;=Q139, (P161*(1+'Building Info &amp; Assumptions'!$E$77))-SUMIFS(Alternatives!$D$38:$D$57,Alternatives!$I$38:$I$57,Q139,Alternatives!$H$38:$H$57,"Yes")*(1+'Building Info &amp; Assumptions'!$E$77)^P139, 0)</f>
        <v>-276432.5570741063</v>
      </c>
      <c r="R161" s="220">
        <f>IF($B$6&gt;=R139, (Q161*(1+'Building Info &amp; Assumptions'!$E$77))-SUMIFS(Alternatives!$D$38:$D$57,Alternatives!$I$38:$I$57,R139,Alternatives!$H$38:$H$57,"Yes")*(1+'Building Info &amp; Assumptions'!$E$77)^Q139, 0)</f>
        <v>-286107.69657169998</v>
      </c>
      <c r="S161" s="220">
        <f>IF($B$6&gt;=S139, (R161*(1+'Building Info &amp; Assumptions'!$E$77))-SUMIFS(Alternatives!$D$38:$D$57,Alternatives!$I$38:$I$57,S139,Alternatives!$H$38:$H$57,"Yes")*(1+'Building Info &amp; Assumptions'!$E$77)^R139, 0)</f>
        <v>-296121.46595170948</v>
      </c>
      <c r="T161" s="220">
        <f>IF($B$6&gt;=T139, (S161*(1+'Building Info &amp; Assumptions'!$E$77))-SUMIFS(Alternatives!$D$38:$D$57,Alternatives!$I$38:$I$57,T139,Alternatives!$H$38:$H$57,"Yes")*(1+'Building Info &amp; Assumptions'!$E$77)^S139, 0)</f>
        <v>-306485.71726001927</v>
      </c>
      <c r="U161" s="220">
        <f>IF($B$6&gt;=U139, (T161*(1+'Building Info &amp; Assumptions'!$E$77))-SUMIFS(Alternatives!$D$38:$D$57,Alternatives!$I$38:$I$57,U139,Alternatives!$H$38:$H$57,"Yes")*(1+'Building Info &amp; Assumptions'!$E$77)^T139, 0)</f>
        <v>-317212.71736411995</v>
      </c>
    </row>
    <row r="162" spans="1:21" s="110" customFormat="1">
      <c r="A162" s="571" t="s">
        <v>574</v>
      </c>
      <c r="B162" s="272">
        <f>SUMIFS(Alternatives!$G$38:$G$57,Alternatives!$I$38:$I$57,B139,Alternatives!$H$38:$H$57,"Yes")</f>
        <v>0</v>
      </c>
      <c r="C162" s="272">
        <f>SUMIFS(Alternatives!$G$38:$G$57,Alternatives!$I$38:$I$57,C139,Alternatives!$H$38:$H$57,"Yes")*(1+'Building Info &amp; Assumptions'!$E$77)^B139</f>
        <v>0</v>
      </c>
      <c r="D162" s="272">
        <f>SUMIFS(Alternatives!$G$38:$G$57,Alternatives!$I$38:$I$57,D139,Alternatives!$H$38:$H$57,"Yes")*(1+'Building Info &amp; Assumptions'!$E$77)^C139</f>
        <v>0</v>
      </c>
      <c r="E162" s="272">
        <f>SUMIFS(Alternatives!$G$38:$G$57,Alternatives!$I$38:$I$57,E139,Alternatives!$H$38:$H$57,"Yes")*(1+'Building Info &amp; Assumptions'!$E$77)^D139</f>
        <v>0</v>
      </c>
      <c r="F162" s="272">
        <f>SUMIFS(Alternatives!$G$38:$G$57,Alternatives!$I$38:$I$57,F139,Alternatives!$H$38:$H$57,"Yes")*(1+'Building Info &amp; Assumptions'!$E$77)^E139</f>
        <v>0</v>
      </c>
      <c r="G162" s="272">
        <f>SUMIFS(Alternatives!$G$38:$G$57,Alternatives!$I$38:$I$57,G139,Alternatives!$H$38:$H$57,"Yes")*(1+'Building Info &amp; Assumptions'!$E$77)^F139</f>
        <v>0</v>
      </c>
      <c r="H162" s="272">
        <f>SUMIFS(Alternatives!$G$38:$G$57,Alternatives!$I$38:$I$57,H139,Alternatives!$H$38:$H$57,"Yes")*(1+'Building Info &amp; Assumptions'!$E$77)^G139</f>
        <v>0</v>
      </c>
      <c r="I162" s="272">
        <f>SUMIFS(Alternatives!$G$38:$G$57,Alternatives!$I$38:$I$57,I139,Alternatives!$H$38:$H$57,"Yes")*(1+'Building Info &amp; Assumptions'!$E$77)^H139</f>
        <v>0</v>
      </c>
      <c r="J162" s="272">
        <f>SUMIFS(Alternatives!$G$38:$G$57,Alternatives!$I$38:$I$57,J139,Alternatives!$H$38:$H$57,"Yes")*(1+'Building Info &amp; Assumptions'!$E$77)^I139</f>
        <v>0</v>
      </c>
      <c r="K162" s="272">
        <f>SUMIFS(Alternatives!$G$38:$G$57,Alternatives!$I$38:$I$57,K139,Alternatives!$H$38:$H$57,"Yes")*(1+'Building Info &amp; Assumptions'!$E$77)^J139</f>
        <v>0</v>
      </c>
      <c r="L162" s="272">
        <f>SUMIFS(Alternatives!$G$38:$G$57,Alternatives!$I$38:$I$57,L139,Alternatives!$H$38:$H$57,"Yes")*(1+'Building Info &amp; Assumptions'!$E$77)^K139</f>
        <v>0</v>
      </c>
      <c r="M162" s="272">
        <f>SUMIFS(Alternatives!$G$38:$G$57,Alternatives!$I$38:$I$57,M139,Alternatives!$H$38:$H$57,"Yes")*(1+'Building Info &amp; Assumptions'!$E$77)^L139</f>
        <v>0</v>
      </c>
      <c r="N162" s="272">
        <f>SUMIFS(Alternatives!$G$38:$G$57,Alternatives!$I$38:$I$57,N139,Alternatives!$H$38:$H$57,"Yes")*(1+'Building Info &amp; Assumptions'!$E$77)^M139</f>
        <v>0</v>
      </c>
      <c r="O162" s="272">
        <f>SUMIFS(Alternatives!$G$38:$G$57,Alternatives!$I$38:$I$57,O139,Alternatives!$H$38:$H$57,"Yes")*(1+'Building Info &amp; Assumptions'!$E$77)^N139</f>
        <v>0</v>
      </c>
      <c r="P162" s="272">
        <f>SUMIFS(Alternatives!$G$38:$G$57,Alternatives!$I$38:$I$57,P139,Alternatives!$H$38:$H$57,"Yes")*(1+'Building Info &amp; Assumptions'!$E$77)^O139</f>
        <v>0</v>
      </c>
      <c r="Q162" s="272">
        <f>SUMIFS(Alternatives!$G$38:$G$57,Alternatives!$I$38:$I$57,Q139,Alternatives!$H$38:$H$57,"Yes")*(1+'Building Info &amp; Assumptions'!$E$77)^P139</f>
        <v>0</v>
      </c>
      <c r="R162" s="272">
        <f>SUMIFS(Alternatives!$G$38:$G$57,Alternatives!$I$38:$I$57,R139,Alternatives!$H$38:$H$57,"Yes")*(1+'Building Info &amp; Assumptions'!$E$77)^Q139</f>
        <v>0</v>
      </c>
      <c r="S162" s="272">
        <f>SUMIFS(Alternatives!$G$38:$G$57,Alternatives!$I$38:$I$57,S139,Alternatives!$H$38:$H$57,"Yes")*(1+'Building Info &amp; Assumptions'!$E$77)^R139</f>
        <v>0</v>
      </c>
      <c r="T162" s="272">
        <f>SUMIFS(Alternatives!$G$38:$G$57,Alternatives!$I$38:$I$57,T139,Alternatives!$H$38:$H$57,"Yes")*(1+'Building Info &amp; Assumptions'!$E$77)^S139</f>
        <v>0</v>
      </c>
      <c r="U162" s="272">
        <f>SUMIFS(Alternatives!$G$38:$G$57,Alternatives!$I$38:$I$57,U139,Alternatives!$H$38:$H$57,"Yes")*(1+'Building Info &amp; Assumptions'!$E$77)^T139</f>
        <v>0</v>
      </c>
    </row>
    <row r="163" spans="1:21">
      <c r="A163" s="571" t="s">
        <v>575</v>
      </c>
      <c r="B163" s="272">
        <f>SUMIFS(Alternatives!$F$38:$F$57,Alternatives!$I$38:$I$57,B139,Alternatives!$H$38:$H$57,"Yes")</f>
        <v>500000</v>
      </c>
      <c r="C163" s="272">
        <f>SUMIFS(Alternatives!$F$38:$F$57,Alternatives!$I$38:$I$57,C139,Alternatives!$H$38:$H$57,"Yes")*(1+'Building Info &amp; Assumptions'!$E$77)^B139</f>
        <v>1552499.9999999998</v>
      </c>
      <c r="D163" s="272">
        <f>SUMIFS(Alternatives!$F$38:$F$57,Alternatives!$I$38:$I$57,D139,Alternatives!$H$38:$H$57,"Yes")*(1+'Building Info &amp; Assumptions'!$E$77)^C139</f>
        <v>0</v>
      </c>
      <c r="E163" s="272">
        <f>SUMIFS(Alternatives!$F$38:$F$57,Alternatives!$I$38:$I$57,E139,Alternatives!$H$38:$H$57,"Yes")*(1+'Building Info &amp; Assumptions'!$E$77)^D139</f>
        <v>0</v>
      </c>
      <c r="F163" s="272">
        <f>SUMIFS(Alternatives!$F$38:$F$57,Alternatives!$I$38:$I$57,F139,Alternatives!$H$38:$H$57,"Yes")*(1+'Building Info &amp; Assumptions'!$E$77)^E139</f>
        <v>1721284.5009374996</v>
      </c>
      <c r="G163" s="272">
        <f>SUMIFS(Alternatives!$F$38:$F$57,Alternatives!$I$38:$I$57,G139,Alternatives!$H$38:$H$57,"Yes")*(1+'Building Info &amp; Assumptions'!$E$77)^F139</f>
        <v>0</v>
      </c>
      <c r="H163" s="272">
        <f>SUMIFS(Alternatives!$F$38:$F$57,Alternatives!$I$38:$I$57,H139,Alternatives!$H$38:$H$57,"Yes")*(1+'Building Info &amp; Assumptions'!$E$77)^G139</f>
        <v>0</v>
      </c>
      <c r="I163" s="272">
        <f>SUMIFS(Alternatives!$F$38:$F$57,Alternatives!$I$38:$I$57,I139,Alternatives!$H$38:$H$57,"Yes")*(1+'Building Info &amp; Assumptions'!$E$77)^H139</f>
        <v>0</v>
      </c>
      <c r="J163" s="272">
        <f>SUMIFS(Alternatives!$F$38:$F$57,Alternatives!$I$38:$I$57,J139,Alternatives!$H$38:$H$57,"Yes")*(1+'Building Info &amp; Assumptions'!$E$77)^I139</f>
        <v>0</v>
      </c>
      <c r="K163" s="272">
        <f>SUMIFS(Alternatives!$F$38:$F$57,Alternatives!$I$38:$I$57,K139,Alternatives!$H$38:$H$57,"Yes")*(1+'Building Info &amp; Assumptions'!$E$77)^J139</f>
        <v>0</v>
      </c>
      <c r="L163" s="272">
        <f>SUMIFS(Alternatives!$F$38:$F$57,Alternatives!$I$38:$I$57,L139,Alternatives!$H$38:$H$57,"Yes")*(1+'Building Info &amp; Assumptions'!$E$77)^K139</f>
        <v>0</v>
      </c>
      <c r="M163" s="272">
        <f>SUMIFS(Alternatives!$F$38:$F$57,Alternatives!$I$38:$I$57,M139,Alternatives!$H$38:$H$57,"Yes")*(1+'Building Info &amp; Assumptions'!$E$77)^L139</f>
        <v>0</v>
      </c>
      <c r="N163" s="272">
        <f>SUMIFS(Alternatives!$F$38:$F$57,Alternatives!$I$38:$I$57,N139,Alternatives!$H$38:$H$57,"Yes")*(1+'Building Info &amp; Assumptions'!$E$77)^M139</f>
        <v>0</v>
      </c>
      <c r="O163" s="272">
        <f>SUMIFS(Alternatives!$F$38:$F$57,Alternatives!$I$38:$I$57,O139,Alternatives!$H$38:$H$57,"Yes")*(1+'Building Info &amp; Assumptions'!$E$77)^N139</f>
        <v>0</v>
      </c>
      <c r="P163" s="272">
        <f>SUMIFS(Alternatives!$F$38:$F$57,Alternatives!$I$38:$I$57,P139,Alternatives!$H$38:$H$57,"Yes")*(1+'Building Info &amp; Assumptions'!$E$77)^O139</f>
        <v>0</v>
      </c>
      <c r="Q163" s="272">
        <f>SUMIFS(Alternatives!$F$38:$F$57,Alternatives!$I$38:$I$57,Q139,Alternatives!$H$38:$H$57,"Yes")*(1+'Building Info &amp; Assumptions'!$E$77)^P139</f>
        <v>0</v>
      </c>
      <c r="R163" s="272">
        <f>SUMIFS(Alternatives!$F$38:$F$57,Alternatives!$I$38:$I$57,R139,Alternatives!$H$38:$H$57,"Yes")*(1+'Building Info &amp; Assumptions'!$E$77)^Q139</f>
        <v>0</v>
      </c>
      <c r="S163" s="272">
        <f>SUMIFS(Alternatives!$F$38:$F$57,Alternatives!$I$38:$I$57,S139,Alternatives!$H$38:$H$57,"Yes")*(1+'Building Info &amp; Assumptions'!$E$77)^R139</f>
        <v>0</v>
      </c>
      <c r="T163" s="272">
        <f>SUMIFS(Alternatives!$F$38:$F$57,Alternatives!$I$38:$I$57,T139,Alternatives!$H$38:$H$57,"Yes")*(1+'Building Info &amp; Assumptions'!$E$77)^S139</f>
        <v>0</v>
      </c>
      <c r="U163" s="272">
        <f>SUMIFS(Alternatives!$F$38:$F$57,Alternatives!$I$38:$I$57,U139,Alternatives!$H$38:$H$57,"Yes")*(1+'Building Info &amp; Assumptions'!$E$77)^T139</f>
        <v>0</v>
      </c>
    </row>
    <row r="164" spans="1:21">
      <c r="A164" s="110"/>
      <c r="B164" s="204"/>
      <c r="C164" s="205"/>
      <c r="D164" s="205"/>
      <c r="E164" s="205"/>
      <c r="F164" s="205"/>
      <c r="G164" s="205"/>
      <c r="H164" s="205"/>
      <c r="I164" s="205"/>
      <c r="J164" s="205"/>
      <c r="K164" s="205"/>
      <c r="L164" s="205"/>
      <c r="M164" s="205"/>
      <c r="N164" s="205"/>
      <c r="O164" s="205"/>
      <c r="P164" s="205"/>
      <c r="Q164" s="205"/>
      <c r="R164" s="205"/>
      <c r="S164" s="205"/>
      <c r="T164" s="205"/>
      <c r="U164" s="205"/>
    </row>
    <row r="165" spans="1:21">
      <c r="A165" s="202" t="s">
        <v>309</v>
      </c>
      <c r="B165" s="206">
        <f>SUM(B147:B159)</f>
        <v>49945717.26608187</v>
      </c>
      <c r="C165" s="206">
        <f>SUM(C147:C159)</f>
        <v>52234940.963157892</v>
      </c>
      <c r="D165" s="206">
        <f t="shared" ref="D165:K165" si="94">SUM(D147:D159)</f>
        <v>55170508.820157893</v>
      </c>
      <c r="E165" s="206">
        <f t="shared" si="94"/>
        <v>53606437.711098582</v>
      </c>
      <c r="F165" s="206">
        <f t="shared" si="94"/>
        <v>59646516.122199088</v>
      </c>
      <c r="G165" s="206">
        <f t="shared" si="94"/>
        <v>57081979.804957904</v>
      </c>
      <c r="H165" s="206">
        <f t="shared" si="94"/>
        <v>58838124.423125848</v>
      </c>
      <c r="I165" s="206">
        <f t="shared" si="94"/>
        <v>90277742.61321938</v>
      </c>
      <c r="J165" s="206">
        <f t="shared" si="94"/>
        <v>60300719.858296968</v>
      </c>
      <c r="K165" s="206">
        <f t="shared" si="94"/>
        <v>62192370.711972773</v>
      </c>
      <c r="L165" s="206">
        <f t="shared" ref="L165:U165" si="95">SUM(L147:L159)</f>
        <v>64259596.580300875</v>
      </c>
      <c r="M165" s="206">
        <f t="shared" si="95"/>
        <v>66282730.295346469</v>
      </c>
      <c r="N165" s="206">
        <f t="shared" si="95"/>
        <v>68374204.380755126</v>
      </c>
      <c r="O165" s="206">
        <f t="shared" si="95"/>
        <v>70536390.349507719</v>
      </c>
      <c r="P165" s="206">
        <f t="shared" si="95"/>
        <v>72910026.849736884</v>
      </c>
      <c r="Q165" s="206">
        <f t="shared" si="95"/>
        <v>75282066.220460027</v>
      </c>
      <c r="R165" s="206">
        <f t="shared" si="95"/>
        <v>77767266.840126187</v>
      </c>
      <c r="S165" s="206">
        <f t="shared" si="95"/>
        <v>80234663.699872375</v>
      </c>
      <c r="T165" s="206">
        <f t="shared" si="95"/>
        <v>82776958.468908876</v>
      </c>
      <c r="U165" s="206">
        <f t="shared" si="95"/>
        <v>85405370.71430403</v>
      </c>
    </row>
    <row r="166" spans="1:21" s="221" customFormat="1">
      <c r="A166" s="571" t="s">
        <v>576</v>
      </c>
      <c r="B166" s="206">
        <f>B161+B162+B163</f>
        <v>420000</v>
      </c>
      <c r="C166" s="206">
        <f t="shared" ref="C166:U166" si="96">C161+C162+C163</f>
        <v>1381724.9999999998</v>
      </c>
      <c r="D166" s="206">
        <f t="shared" si="96"/>
        <v>-176752.125</v>
      </c>
      <c r="E166" s="206">
        <f t="shared" si="96"/>
        <v>-182938.449375</v>
      </c>
      <c r="F166" s="206">
        <f t="shared" si="96"/>
        <v>1531943.2058343745</v>
      </c>
      <c r="G166" s="206">
        <f t="shared" si="96"/>
        <v>-195968.24043173433</v>
      </c>
      <c r="H166" s="206">
        <f t="shared" si="96"/>
        <v>-202827.12884684501</v>
      </c>
      <c r="I166" s="206">
        <f t="shared" si="96"/>
        <v>-209926.07835648456</v>
      </c>
      <c r="J166" s="206">
        <f t="shared" si="96"/>
        <v>-217273.4910989615</v>
      </c>
      <c r="K166" s="206">
        <f t="shared" si="96"/>
        <v>-224878.06328742515</v>
      </c>
      <c r="L166" s="206">
        <f t="shared" si="96"/>
        <v>-232748.79550248501</v>
      </c>
      <c r="M166" s="206">
        <f t="shared" si="96"/>
        <v>-240895.00334507198</v>
      </c>
      <c r="N166" s="206">
        <f t="shared" si="96"/>
        <v>-249326.32846214948</v>
      </c>
      <c r="O166" s="206">
        <f t="shared" si="96"/>
        <v>-258052.74995832468</v>
      </c>
      <c r="P166" s="206">
        <f t="shared" si="96"/>
        <v>-267084.59620686603</v>
      </c>
      <c r="Q166" s="206">
        <f t="shared" si="96"/>
        <v>-276432.5570741063</v>
      </c>
      <c r="R166" s="206">
        <f t="shared" si="96"/>
        <v>-286107.69657169998</v>
      </c>
      <c r="S166" s="206">
        <f t="shared" si="96"/>
        <v>-296121.46595170948</v>
      </c>
      <c r="T166" s="206">
        <f t="shared" si="96"/>
        <v>-306485.71726001927</v>
      </c>
      <c r="U166" s="206">
        <f t="shared" si="96"/>
        <v>-317212.71736411995</v>
      </c>
    </row>
    <row r="167" spans="1:21">
      <c r="A167" s="110"/>
      <c r="B167" s="207"/>
      <c r="C167" s="207"/>
      <c r="D167" s="207"/>
      <c r="E167" s="207"/>
      <c r="F167" s="207"/>
      <c r="G167" s="207"/>
      <c r="H167" s="207"/>
      <c r="I167" s="207"/>
      <c r="J167" s="207"/>
      <c r="K167" s="207"/>
      <c r="L167" s="207"/>
      <c r="M167" s="207"/>
      <c r="N167" s="207"/>
      <c r="O167" s="207"/>
      <c r="P167" s="207"/>
      <c r="Q167" s="207"/>
      <c r="R167" s="207"/>
      <c r="S167" s="207"/>
      <c r="T167" s="207"/>
      <c r="U167" s="207"/>
    </row>
    <row r="168" spans="1:21">
      <c r="A168" s="110" t="s">
        <v>577</v>
      </c>
      <c r="C168" s="208">
        <f>C165-B165</f>
        <v>2289223.6970760226</v>
      </c>
      <c r="D168" s="208">
        <f t="shared" ref="D168:K168" si="97">D165-C165</f>
        <v>2935567.8570000008</v>
      </c>
      <c r="E168" s="208">
        <f t="shared" si="97"/>
        <v>-1564071.1090593114</v>
      </c>
      <c r="F168" s="208">
        <f t="shared" si="97"/>
        <v>6040078.4111005068</v>
      </c>
      <c r="G168" s="208">
        <f t="shared" si="97"/>
        <v>-2564536.3172411844</v>
      </c>
      <c r="H168" s="208">
        <f t="shared" si="97"/>
        <v>1756144.6181679443</v>
      </c>
      <c r="I168" s="208">
        <f t="shared" si="97"/>
        <v>31439618.190093532</v>
      </c>
      <c r="J168" s="208">
        <f t="shared" si="97"/>
        <v>-29977022.754922412</v>
      </c>
      <c r="K168" s="208">
        <f t="shared" si="97"/>
        <v>1891650.853675805</v>
      </c>
      <c r="L168" s="208">
        <f t="shared" ref="L168:U168" si="98">L165-K165</f>
        <v>2067225.8683281019</v>
      </c>
      <c r="M168" s="208">
        <f t="shared" si="98"/>
        <v>2023133.7150455937</v>
      </c>
      <c r="N168" s="208">
        <f t="shared" si="98"/>
        <v>2091474.0854086578</v>
      </c>
      <c r="O168" s="208">
        <f t="shared" si="98"/>
        <v>2162185.9687525928</v>
      </c>
      <c r="P168" s="208">
        <f t="shared" si="98"/>
        <v>2373636.500229165</v>
      </c>
      <c r="Q168" s="208">
        <f t="shared" si="98"/>
        <v>2372039.3707231432</v>
      </c>
      <c r="R168" s="208">
        <f t="shared" si="98"/>
        <v>2485200.6196661592</v>
      </c>
      <c r="S168" s="208">
        <f t="shared" si="98"/>
        <v>2467396.8597461879</v>
      </c>
      <c r="T168" s="208">
        <f t="shared" si="98"/>
        <v>2542294.7690365016</v>
      </c>
      <c r="U168" s="208">
        <f t="shared" si="98"/>
        <v>2628412.2453951538</v>
      </c>
    </row>
    <row r="169" spans="1:21">
      <c r="A169" s="110"/>
      <c r="C169" s="209">
        <f>C168/B165</f>
        <v>4.5834234092191804E-2</v>
      </c>
      <c r="D169" s="209">
        <f t="shared" ref="D169:K169" si="99">D168/C165</f>
        <v>5.6199314153920495E-2</v>
      </c>
      <c r="E169" s="209">
        <f t="shared" si="99"/>
        <v>-2.8349767702121317E-2</v>
      </c>
      <c r="F169" s="209">
        <f t="shared" si="99"/>
        <v>0.11267449711268503</v>
      </c>
      <c r="G169" s="209">
        <f t="shared" si="99"/>
        <v>-4.2995576002916321E-2</v>
      </c>
      <c r="H169" s="209">
        <f t="shared" si="99"/>
        <v>3.0765306742486405E-2</v>
      </c>
      <c r="I169" s="209">
        <f t="shared" si="99"/>
        <v>0.53434093112826087</v>
      </c>
      <c r="J169" s="209">
        <f t="shared" si="99"/>
        <v>-0.33205330447122716</v>
      </c>
      <c r="K169" s="209">
        <f t="shared" si="99"/>
        <v>3.1370286426448471E-2</v>
      </c>
      <c r="L169" s="209">
        <f t="shared" ref="L169:U169" si="100">L168/K165</f>
        <v>3.3239219612674072E-2</v>
      </c>
      <c r="M169" s="209">
        <f t="shared" si="100"/>
        <v>3.1483759978440266E-2</v>
      </c>
      <c r="N169" s="209">
        <f t="shared" si="100"/>
        <v>3.155383123310318E-2</v>
      </c>
      <c r="O169" s="209">
        <f t="shared" si="100"/>
        <v>3.1622831860858479E-2</v>
      </c>
      <c r="P169" s="209">
        <f t="shared" si="100"/>
        <v>3.3651232909251511E-2</v>
      </c>
      <c r="Q169" s="209">
        <f t="shared" si="100"/>
        <v>3.2533788193656432E-2</v>
      </c>
      <c r="R169" s="209">
        <f t="shared" si="100"/>
        <v>3.3011854541669522E-2</v>
      </c>
      <c r="S169" s="209">
        <f t="shared" si="100"/>
        <v>3.1727961647651293E-2</v>
      </c>
      <c r="T169" s="209">
        <f t="shared" si="100"/>
        <v>3.1685740947905855E-2</v>
      </c>
      <c r="U169" s="209">
        <f t="shared" si="100"/>
        <v>3.1752945433267982E-2</v>
      </c>
    </row>
    <row r="170" spans="1:21">
      <c r="A170" s="110" t="s">
        <v>311</v>
      </c>
      <c r="C170" s="208">
        <f>C165-$B$165</f>
        <v>2289223.6970760226</v>
      </c>
      <c r="D170" s="208">
        <f t="shared" ref="D170:K170" si="101">D165-$B$165</f>
        <v>5224791.5540760234</v>
      </c>
      <c r="E170" s="208">
        <f t="shared" si="101"/>
        <v>3660720.445016712</v>
      </c>
      <c r="F170" s="208">
        <f t="shared" si="101"/>
        <v>9700798.8561172187</v>
      </c>
      <c r="G170" s="208">
        <f t="shared" si="101"/>
        <v>7136262.5388760343</v>
      </c>
      <c r="H170" s="208">
        <f t="shared" si="101"/>
        <v>8892407.1570439786</v>
      </c>
      <c r="I170" s="208">
        <f t="shared" si="101"/>
        <v>40332025.347137511</v>
      </c>
      <c r="J170" s="208">
        <f t="shared" si="101"/>
        <v>10355002.592215098</v>
      </c>
      <c r="K170" s="208">
        <f t="shared" si="101"/>
        <v>12246653.445890903</v>
      </c>
      <c r="L170" s="208">
        <f t="shared" ref="L170:U170" si="102">L165-$B$165</f>
        <v>14313879.314219005</v>
      </c>
      <c r="M170" s="208">
        <f t="shared" si="102"/>
        <v>16337013.029264599</v>
      </c>
      <c r="N170" s="208">
        <f t="shared" si="102"/>
        <v>18428487.114673257</v>
      </c>
      <c r="O170" s="208">
        <f t="shared" si="102"/>
        <v>20590673.08342585</v>
      </c>
      <c r="P170" s="208">
        <f t="shared" si="102"/>
        <v>22964309.583655015</v>
      </c>
      <c r="Q170" s="208">
        <f t="shared" si="102"/>
        <v>25336348.954378158</v>
      </c>
      <c r="R170" s="208">
        <f t="shared" si="102"/>
        <v>27821549.574044317</v>
      </c>
      <c r="S170" s="208">
        <f t="shared" si="102"/>
        <v>30288946.433790505</v>
      </c>
      <c r="T170" s="208">
        <f t="shared" si="102"/>
        <v>32831241.202827007</v>
      </c>
      <c r="U170" s="208">
        <f t="shared" si="102"/>
        <v>35459653.44822216</v>
      </c>
    </row>
    <row r="171" spans="1:21">
      <c r="A171" s="110"/>
      <c r="B171" s="207"/>
      <c r="C171" s="207"/>
      <c r="D171" s="207"/>
      <c r="E171" s="207"/>
      <c r="F171" s="207"/>
      <c r="G171" s="207"/>
      <c r="H171" s="207"/>
      <c r="I171" s="207"/>
      <c r="J171" s="207"/>
      <c r="K171" s="207"/>
      <c r="L171" s="207"/>
      <c r="M171" s="207"/>
      <c r="N171" s="207"/>
      <c r="O171" s="207"/>
      <c r="P171" s="207"/>
      <c r="Q171" s="207"/>
      <c r="R171" s="207"/>
      <c r="S171" s="207"/>
      <c r="T171" s="207"/>
      <c r="U171" s="207"/>
    </row>
    <row r="172" spans="1:21" ht="15.95" thickBot="1">
      <c r="A172" s="202" t="s">
        <v>312</v>
      </c>
      <c r="B172" s="210">
        <f>B144-B165</f>
        <v>68048543.84502925</v>
      </c>
      <c r="C172" s="210">
        <f>C144-C165</f>
        <v>69889059.036842108</v>
      </c>
      <c r="D172" s="210">
        <f t="shared" ref="D172:K172" si="103">D144-D165</f>
        <v>71227791.179842114</v>
      </c>
      <c r="E172" s="210">
        <f t="shared" si="103"/>
        <v>77215862.288901418</v>
      </c>
      <c r="F172" s="210">
        <f t="shared" si="103"/>
        <v>75754583.877800912</v>
      </c>
      <c r="G172" s="210">
        <f t="shared" si="103"/>
        <v>83058120.195042104</v>
      </c>
      <c r="H172" s="210">
        <f t="shared" si="103"/>
        <v>86206975.576874152</v>
      </c>
      <c r="I172" s="210">
        <f t="shared" si="103"/>
        <v>59843857.38678062</v>
      </c>
      <c r="J172" s="210">
        <f t="shared" si="103"/>
        <v>95075180.141703039</v>
      </c>
      <c r="K172" s="210">
        <f t="shared" si="103"/>
        <v>98621629.288027227</v>
      </c>
      <c r="L172" s="210">
        <f t="shared" ref="L172:U172" si="104">L144-L165</f>
        <v>102182903.41969913</v>
      </c>
      <c r="M172" s="210">
        <f t="shared" si="104"/>
        <v>105985269.70465353</v>
      </c>
      <c r="N172" s="210">
        <f t="shared" si="104"/>
        <v>109923095.61924487</v>
      </c>
      <c r="O172" s="210">
        <f t="shared" si="104"/>
        <v>114001309.65049228</v>
      </c>
      <c r="P172" s="210">
        <f t="shared" si="104"/>
        <v>118086473.15026312</v>
      </c>
      <c r="Q172" s="210">
        <f t="shared" si="104"/>
        <v>122399333.77953997</v>
      </c>
      <c r="R172" s="210">
        <f t="shared" si="104"/>
        <v>126832933.15987381</v>
      </c>
      <c r="S172" s="210">
        <f t="shared" si="104"/>
        <v>131526536.30012763</v>
      </c>
      <c r="T172" s="210">
        <f t="shared" si="104"/>
        <v>136395941.53109112</v>
      </c>
      <c r="U172" s="210">
        <f t="shared" si="104"/>
        <v>141438629.28569597</v>
      </c>
    </row>
    <row r="173" spans="1:21" s="221" customFormat="1" ht="17.100000000000001" thickTop="1" thickBot="1">
      <c r="A173" s="571" t="s">
        <v>578</v>
      </c>
      <c r="B173" s="718">
        <f>-B166</f>
        <v>-420000</v>
      </c>
      <c r="C173" s="718">
        <f t="shared" ref="C173:U173" si="105">-C166</f>
        <v>-1381724.9999999998</v>
      </c>
      <c r="D173" s="718">
        <f t="shared" si="105"/>
        <v>176752.125</v>
      </c>
      <c r="E173" s="718">
        <f t="shared" si="105"/>
        <v>182938.449375</v>
      </c>
      <c r="F173" s="718">
        <f t="shared" si="105"/>
        <v>-1531943.2058343745</v>
      </c>
      <c r="G173" s="718">
        <f t="shared" si="105"/>
        <v>195968.24043173433</v>
      </c>
      <c r="H173" s="718">
        <f t="shared" si="105"/>
        <v>202827.12884684501</v>
      </c>
      <c r="I173" s="718">
        <f t="shared" si="105"/>
        <v>209926.07835648456</v>
      </c>
      <c r="J173" s="718">
        <f t="shared" si="105"/>
        <v>217273.4910989615</v>
      </c>
      <c r="K173" s="718">
        <f t="shared" si="105"/>
        <v>224878.06328742515</v>
      </c>
      <c r="L173" s="718">
        <f t="shared" si="105"/>
        <v>232748.79550248501</v>
      </c>
      <c r="M173" s="718">
        <f t="shared" si="105"/>
        <v>240895.00334507198</v>
      </c>
      <c r="N173" s="718">
        <f t="shared" si="105"/>
        <v>249326.32846214948</v>
      </c>
      <c r="O173" s="718">
        <f t="shared" si="105"/>
        <v>258052.74995832468</v>
      </c>
      <c r="P173" s="718">
        <f t="shared" si="105"/>
        <v>267084.59620686603</v>
      </c>
      <c r="Q173" s="718">
        <f t="shared" si="105"/>
        <v>276432.5570741063</v>
      </c>
      <c r="R173" s="718">
        <f t="shared" si="105"/>
        <v>286107.69657169998</v>
      </c>
      <c r="S173" s="718">
        <f t="shared" si="105"/>
        <v>296121.46595170948</v>
      </c>
      <c r="T173" s="718">
        <f t="shared" si="105"/>
        <v>306485.71726001927</v>
      </c>
      <c r="U173" s="718">
        <f t="shared" si="105"/>
        <v>317212.71736411995</v>
      </c>
    </row>
    <row r="174" spans="1:21" ht="15.95" thickTop="1">
      <c r="A174" s="110"/>
      <c r="B174" s="211"/>
      <c r="C174" s="211"/>
      <c r="D174" s="211"/>
      <c r="E174" s="211"/>
      <c r="F174" s="211"/>
      <c r="G174" s="211"/>
      <c r="H174" s="110"/>
      <c r="I174" s="110"/>
      <c r="J174" s="110"/>
      <c r="K174" s="110"/>
    </row>
    <row r="175" spans="1:21">
      <c r="A175" s="110" t="s">
        <v>310</v>
      </c>
      <c r="C175" s="208">
        <f>C172-B172</f>
        <v>1840515.191812858</v>
      </c>
      <c r="D175" s="208">
        <f t="shared" ref="D175:K175" si="106">D172-C172</f>
        <v>1338732.1430000067</v>
      </c>
      <c r="E175" s="208">
        <f t="shared" si="106"/>
        <v>5988071.109059304</v>
      </c>
      <c r="F175" s="208">
        <f t="shared" si="106"/>
        <v>-1461278.4111005068</v>
      </c>
      <c r="G175" s="208">
        <f t="shared" si="106"/>
        <v>7303536.3172411919</v>
      </c>
      <c r="H175" s="208">
        <f t="shared" si="106"/>
        <v>3148855.3818320483</v>
      </c>
      <c r="I175" s="208">
        <f t="shared" si="106"/>
        <v>-26363118.190093532</v>
      </c>
      <c r="J175" s="208">
        <f t="shared" si="106"/>
        <v>35231322.75492242</v>
      </c>
      <c r="K175" s="208">
        <f t="shared" si="106"/>
        <v>3546449.1463241875</v>
      </c>
      <c r="L175" s="208">
        <f t="shared" ref="L175:U175" si="107">L172-K172</f>
        <v>3561274.1316719055</v>
      </c>
      <c r="M175" s="208">
        <f t="shared" si="107"/>
        <v>3802366.2849543989</v>
      </c>
      <c r="N175" s="208">
        <f t="shared" si="107"/>
        <v>3937825.9145913422</v>
      </c>
      <c r="O175" s="208">
        <f t="shared" si="107"/>
        <v>4078214.0312474072</v>
      </c>
      <c r="P175" s="208">
        <f t="shared" si="107"/>
        <v>4085163.499770835</v>
      </c>
      <c r="Q175" s="208">
        <f t="shared" si="107"/>
        <v>4312860.6292768568</v>
      </c>
      <c r="R175" s="208">
        <f t="shared" si="107"/>
        <v>4433599.3803338408</v>
      </c>
      <c r="S175" s="208">
        <f t="shared" si="107"/>
        <v>4693603.1402538121</v>
      </c>
      <c r="T175" s="208">
        <f t="shared" si="107"/>
        <v>4869405.2309634984</v>
      </c>
      <c r="U175" s="208">
        <f t="shared" si="107"/>
        <v>5042687.7546048462</v>
      </c>
    </row>
    <row r="176" spans="1:21">
      <c r="A176" s="110"/>
      <c r="C176" s="209">
        <f>C175/B172</f>
        <v>2.70470914999205E-2</v>
      </c>
      <c r="D176" s="209">
        <f t="shared" ref="D176:K176" si="108">D175/C172</f>
        <v>1.9155103265795757E-2</v>
      </c>
      <c r="E176" s="209">
        <f t="shared" si="108"/>
        <v>8.4069307918591796E-2</v>
      </c>
      <c r="F176" s="209">
        <f t="shared" si="108"/>
        <v>-1.8924588391348481E-2</v>
      </c>
      <c r="G176" s="209">
        <f t="shared" si="108"/>
        <v>9.6410486908917167E-2</v>
      </c>
      <c r="H176" s="209">
        <f t="shared" si="108"/>
        <v>3.7911469395619783E-2</v>
      </c>
      <c r="I176" s="209">
        <f t="shared" si="108"/>
        <v>-0.30581189066985076</v>
      </c>
      <c r="J176" s="209">
        <f t="shared" si="108"/>
        <v>0.58872078594828259</v>
      </c>
      <c r="K176" s="209">
        <f t="shared" si="108"/>
        <v>3.7301524341457448E-2</v>
      </c>
      <c r="L176" s="209">
        <f t="shared" ref="L176:U176" si="109">L175/K172</f>
        <v>3.6110477563406553E-2</v>
      </c>
      <c r="M176" s="209">
        <f t="shared" si="109"/>
        <v>3.7211374483428185E-2</v>
      </c>
      <c r="N176" s="209">
        <f t="shared" si="109"/>
        <v>3.7154464253049337E-2</v>
      </c>
      <c r="O176" s="209">
        <f t="shared" si="109"/>
        <v>3.7100611188877496E-2</v>
      </c>
      <c r="P176" s="209">
        <f t="shared" si="109"/>
        <v>3.5834355870956389E-2</v>
      </c>
      <c r="Q176" s="209">
        <f t="shared" si="109"/>
        <v>3.6522901516321954E-2</v>
      </c>
      <c r="R176" s="209">
        <f t="shared" si="109"/>
        <v>3.6222414317380477E-2</v>
      </c>
      <c r="S176" s="209">
        <f t="shared" si="109"/>
        <v>3.7006186195642832E-2</v>
      </c>
      <c r="T176" s="209">
        <f t="shared" si="109"/>
        <v>3.7022226601118008E-2</v>
      </c>
      <c r="U176" s="209">
        <f t="shared" si="109"/>
        <v>3.697095161336144E-2</v>
      </c>
    </row>
    <row r="177" spans="1:21">
      <c r="A177" s="110" t="s">
        <v>311</v>
      </c>
      <c r="C177" s="208">
        <f>C172-$B$172</f>
        <v>1840515.191812858</v>
      </c>
      <c r="D177" s="208">
        <f t="shared" ref="D177:K177" si="110">D172-$B$172</f>
        <v>3179247.3348128647</v>
      </c>
      <c r="E177" s="208">
        <f t="shared" si="110"/>
        <v>9167318.4438721687</v>
      </c>
      <c r="F177" s="208">
        <f t="shared" si="110"/>
        <v>7706040.0327716619</v>
      </c>
      <c r="G177" s="208">
        <f t="shared" si="110"/>
        <v>15009576.350012854</v>
      </c>
      <c r="H177" s="208">
        <f t="shared" si="110"/>
        <v>18158431.731844902</v>
      </c>
      <c r="I177" s="208">
        <f t="shared" si="110"/>
        <v>-8204686.4582486302</v>
      </c>
      <c r="J177" s="208">
        <f t="shared" si="110"/>
        <v>27026636.29667379</v>
      </c>
      <c r="K177" s="208">
        <f t="shared" si="110"/>
        <v>30573085.442997977</v>
      </c>
      <c r="L177" s="208">
        <f t="shared" ref="L177:U177" si="111">L172-$B$172</f>
        <v>34134359.574669883</v>
      </c>
      <c r="M177" s="208">
        <f t="shared" si="111"/>
        <v>37936725.859624282</v>
      </c>
      <c r="N177" s="208">
        <f t="shared" si="111"/>
        <v>41874551.774215624</v>
      </c>
      <c r="O177" s="208">
        <f t="shared" si="111"/>
        <v>45952765.805463031</v>
      </c>
      <c r="P177" s="208">
        <f t="shared" si="111"/>
        <v>50037929.305233866</v>
      </c>
      <c r="Q177" s="208">
        <f t="shared" si="111"/>
        <v>54350789.934510723</v>
      </c>
      <c r="R177" s="208">
        <f t="shared" si="111"/>
        <v>58784389.314844564</v>
      </c>
      <c r="S177" s="208">
        <f t="shared" si="111"/>
        <v>63477992.455098376</v>
      </c>
      <c r="T177" s="208">
        <f t="shared" si="111"/>
        <v>68347397.686061874</v>
      </c>
      <c r="U177" s="208">
        <f t="shared" si="111"/>
        <v>73390085.44066672</v>
      </c>
    </row>
    <row r="178" spans="1:21">
      <c r="A178" s="110"/>
      <c r="C178" s="209"/>
      <c r="D178" s="209"/>
      <c r="E178" s="209"/>
      <c r="F178" s="209"/>
      <c r="G178" s="209"/>
      <c r="H178" s="209"/>
      <c r="I178" s="209"/>
      <c r="J178" s="209"/>
      <c r="K178" s="209"/>
      <c r="L178" s="209"/>
      <c r="M178" s="209"/>
      <c r="N178" s="209"/>
      <c r="O178" s="209"/>
      <c r="P178" s="209"/>
      <c r="Q178" s="209"/>
      <c r="R178" s="209"/>
      <c r="S178" s="209"/>
      <c r="T178" s="209"/>
      <c r="U178" s="209"/>
    </row>
    <row r="179" spans="1:21" s="304" customFormat="1">
      <c r="A179" s="303" t="s">
        <v>584</v>
      </c>
      <c r="H179" s="303"/>
      <c r="L179" s="432"/>
      <c r="M179" s="432"/>
      <c r="N179" s="432"/>
      <c r="O179" s="432"/>
      <c r="P179" s="432"/>
      <c r="Q179" s="432"/>
      <c r="R179" s="432"/>
      <c r="S179" s="432"/>
      <c r="T179" s="432"/>
      <c r="U179" s="432"/>
    </row>
    <row r="180" spans="1:21">
      <c r="A180" s="110"/>
    </row>
    <row r="181" spans="1:21">
      <c r="A181" s="202" t="s">
        <v>585</v>
      </c>
    </row>
    <row r="182" spans="1:21">
      <c r="A182" s="110"/>
      <c r="B182" s="198">
        <v>1</v>
      </c>
      <c r="C182" s="198">
        <v>2</v>
      </c>
      <c r="D182" s="198">
        <v>3</v>
      </c>
      <c r="E182" s="198">
        <v>4</v>
      </c>
      <c r="F182" s="198">
        <v>5</v>
      </c>
      <c r="G182" s="198">
        <v>6</v>
      </c>
      <c r="H182" s="198">
        <v>7</v>
      </c>
      <c r="I182" s="198">
        <v>8</v>
      </c>
      <c r="J182" s="198">
        <v>9</v>
      </c>
      <c r="K182" s="198">
        <v>10</v>
      </c>
      <c r="L182" s="198">
        <v>11</v>
      </c>
      <c r="M182" s="198">
        <v>12</v>
      </c>
      <c r="N182" s="198">
        <v>13</v>
      </c>
      <c r="O182" s="198">
        <v>14</v>
      </c>
      <c r="P182" s="198">
        <v>15</v>
      </c>
      <c r="Q182" s="198">
        <v>16</v>
      </c>
      <c r="R182" s="198">
        <v>17</v>
      </c>
      <c r="S182" s="198">
        <v>18</v>
      </c>
      <c r="T182" s="198">
        <v>19</v>
      </c>
      <c r="U182" s="198">
        <v>20</v>
      </c>
    </row>
    <row r="183" spans="1:21">
      <c r="A183" s="199" t="s">
        <v>303</v>
      </c>
      <c r="B183" s="196">
        <f t="shared" ref="B183:U183" si="112">B12</f>
        <v>122910661.11111112</v>
      </c>
      <c r="C183" s="196">
        <f t="shared" si="112"/>
        <v>127212500</v>
      </c>
      <c r="D183" s="196">
        <f t="shared" si="112"/>
        <v>131664900</v>
      </c>
      <c r="E183" s="196">
        <f t="shared" si="112"/>
        <v>136273200</v>
      </c>
      <c r="F183" s="196">
        <f t="shared" si="112"/>
        <v>141042800</v>
      </c>
      <c r="G183" s="196">
        <f t="shared" si="112"/>
        <v>145979300</v>
      </c>
      <c r="H183" s="196">
        <f t="shared" si="112"/>
        <v>151088600</v>
      </c>
      <c r="I183" s="196">
        <f t="shared" si="112"/>
        <v>156376700</v>
      </c>
      <c r="J183" s="196">
        <f t="shared" si="112"/>
        <v>161849900</v>
      </c>
      <c r="K183" s="196">
        <f t="shared" si="112"/>
        <v>167514600</v>
      </c>
      <c r="L183" s="196">
        <f t="shared" si="112"/>
        <v>173377600</v>
      </c>
      <c r="M183" s="196">
        <f t="shared" si="112"/>
        <v>179445800</v>
      </c>
      <c r="N183" s="196">
        <f t="shared" si="112"/>
        <v>185726400</v>
      </c>
      <c r="O183" s="196">
        <f t="shared" si="112"/>
        <v>192226800</v>
      </c>
      <c r="P183" s="196">
        <f t="shared" si="112"/>
        <v>198954700</v>
      </c>
      <c r="Q183" s="196">
        <f t="shared" si="112"/>
        <v>205918100</v>
      </c>
      <c r="R183" s="196">
        <f t="shared" si="112"/>
        <v>213125200</v>
      </c>
      <c r="S183" s="196">
        <f t="shared" si="112"/>
        <v>220584600</v>
      </c>
      <c r="T183" s="196">
        <f t="shared" si="112"/>
        <v>228305100</v>
      </c>
      <c r="U183" s="196">
        <f t="shared" si="112"/>
        <v>236295800</v>
      </c>
    </row>
    <row r="184" spans="1:21">
      <c r="A184" s="199" t="s">
        <v>304</v>
      </c>
      <c r="B184" s="196">
        <f t="shared" ref="B184:U184" si="113">B13</f>
        <v>4916400</v>
      </c>
      <c r="C184" s="196">
        <f t="shared" si="113"/>
        <v>5088500</v>
      </c>
      <c r="D184" s="196">
        <f t="shared" si="113"/>
        <v>5266600</v>
      </c>
      <c r="E184" s="196">
        <f t="shared" si="113"/>
        <v>5450900</v>
      </c>
      <c r="F184" s="196">
        <f t="shared" si="113"/>
        <v>5641700</v>
      </c>
      <c r="G184" s="196">
        <f t="shared" si="113"/>
        <v>5839200</v>
      </c>
      <c r="H184" s="196">
        <f t="shared" si="113"/>
        <v>6043500</v>
      </c>
      <c r="I184" s="196">
        <f t="shared" si="113"/>
        <v>6255100</v>
      </c>
      <c r="J184" s="196">
        <f t="shared" si="113"/>
        <v>6474000</v>
      </c>
      <c r="K184" s="196">
        <f t="shared" si="113"/>
        <v>6700600</v>
      </c>
      <c r="L184" s="196">
        <f t="shared" si="113"/>
        <v>6935100</v>
      </c>
      <c r="M184" s="196">
        <f t="shared" si="113"/>
        <v>7177800</v>
      </c>
      <c r="N184" s="196">
        <f t="shared" si="113"/>
        <v>7429100</v>
      </c>
      <c r="O184" s="196">
        <f t="shared" si="113"/>
        <v>7689100</v>
      </c>
      <c r="P184" s="196">
        <f t="shared" si="113"/>
        <v>7958200</v>
      </c>
      <c r="Q184" s="196">
        <f t="shared" si="113"/>
        <v>8236700.0000000009</v>
      </c>
      <c r="R184" s="196">
        <f t="shared" si="113"/>
        <v>8525000</v>
      </c>
      <c r="S184" s="196">
        <f t="shared" si="113"/>
        <v>8823400</v>
      </c>
      <c r="T184" s="196">
        <f t="shared" si="113"/>
        <v>9132200</v>
      </c>
      <c r="U184" s="196">
        <f t="shared" si="113"/>
        <v>9451800</v>
      </c>
    </row>
    <row r="185" spans="1:21">
      <c r="A185" s="110"/>
      <c r="B185" s="197">
        <f>B183-B184</f>
        <v>117994261.11111112</v>
      </c>
      <c r="C185" s="197">
        <f>C183-C184</f>
        <v>122124000</v>
      </c>
      <c r="D185" s="197">
        <f t="shared" ref="D185:K185" si="114">D183-D184</f>
        <v>126398300</v>
      </c>
      <c r="E185" s="197">
        <f t="shared" si="114"/>
        <v>130822300</v>
      </c>
      <c r="F185" s="197">
        <f t="shared" si="114"/>
        <v>135401100</v>
      </c>
      <c r="G185" s="197">
        <f t="shared" si="114"/>
        <v>140140100</v>
      </c>
      <c r="H185" s="197">
        <f t="shared" si="114"/>
        <v>145045100</v>
      </c>
      <c r="I185" s="197">
        <f t="shared" si="114"/>
        <v>150121600</v>
      </c>
      <c r="J185" s="197">
        <f t="shared" si="114"/>
        <v>155375900</v>
      </c>
      <c r="K185" s="197">
        <f t="shared" si="114"/>
        <v>160814000</v>
      </c>
      <c r="L185" s="197">
        <f t="shared" ref="L185:U185" si="115">L183-L184</f>
        <v>166442500</v>
      </c>
      <c r="M185" s="197">
        <f t="shared" si="115"/>
        <v>172268000</v>
      </c>
      <c r="N185" s="197">
        <f t="shared" si="115"/>
        <v>178297300</v>
      </c>
      <c r="O185" s="197">
        <f t="shared" si="115"/>
        <v>184537700</v>
      </c>
      <c r="P185" s="197">
        <f t="shared" si="115"/>
        <v>190996500</v>
      </c>
      <c r="Q185" s="197">
        <f t="shared" si="115"/>
        <v>197681400</v>
      </c>
      <c r="R185" s="197">
        <f t="shared" si="115"/>
        <v>204600200</v>
      </c>
      <c r="S185" s="197">
        <f t="shared" si="115"/>
        <v>211761200</v>
      </c>
      <c r="T185" s="197">
        <f t="shared" si="115"/>
        <v>219172900</v>
      </c>
      <c r="U185" s="197">
        <f t="shared" si="115"/>
        <v>226844000</v>
      </c>
    </row>
    <row r="186" spans="1:21">
      <c r="A186" s="199" t="s">
        <v>305</v>
      </c>
      <c r="B186" s="196">
        <f t="shared" ref="B186:U186" si="116">B15</f>
        <v>0</v>
      </c>
      <c r="C186" s="196">
        <f t="shared" si="116"/>
        <v>0</v>
      </c>
      <c r="D186" s="196">
        <f t="shared" si="116"/>
        <v>0</v>
      </c>
      <c r="E186" s="196">
        <f t="shared" si="116"/>
        <v>0</v>
      </c>
      <c r="F186" s="196">
        <f t="shared" si="116"/>
        <v>0</v>
      </c>
      <c r="G186" s="196">
        <f t="shared" si="116"/>
        <v>0</v>
      </c>
      <c r="H186" s="196">
        <f t="shared" si="116"/>
        <v>0</v>
      </c>
      <c r="I186" s="196">
        <f t="shared" si="116"/>
        <v>0</v>
      </c>
      <c r="J186" s="196">
        <f t="shared" si="116"/>
        <v>0</v>
      </c>
      <c r="K186" s="196">
        <f t="shared" si="116"/>
        <v>0</v>
      </c>
      <c r="L186" s="196">
        <f t="shared" si="116"/>
        <v>0</v>
      </c>
      <c r="M186" s="196">
        <f t="shared" si="116"/>
        <v>0</v>
      </c>
      <c r="N186" s="196">
        <f t="shared" si="116"/>
        <v>0</v>
      </c>
      <c r="O186" s="196">
        <f t="shared" si="116"/>
        <v>0</v>
      </c>
      <c r="P186" s="196">
        <f t="shared" si="116"/>
        <v>0</v>
      </c>
      <c r="Q186" s="196">
        <f t="shared" si="116"/>
        <v>0</v>
      </c>
      <c r="R186" s="196">
        <f t="shared" si="116"/>
        <v>0</v>
      </c>
      <c r="S186" s="196">
        <f t="shared" si="116"/>
        <v>0</v>
      </c>
      <c r="T186" s="196">
        <f t="shared" si="116"/>
        <v>0</v>
      </c>
      <c r="U186" s="196">
        <f t="shared" si="116"/>
        <v>0</v>
      </c>
    </row>
    <row r="187" spans="1:21">
      <c r="A187" s="199" t="s">
        <v>306</v>
      </c>
      <c r="B187" s="197">
        <f>B185+B186</f>
        <v>117994261.11111112</v>
      </c>
      <c r="C187" s="197">
        <f>C185+C186</f>
        <v>122124000</v>
      </c>
      <c r="D187" s="197">
        <f>D185+D186</f>
        <v>126398300</v>
      </c>
      <c r="E187" s="197">
        <f t="shared" ref="E187:K187" si="117">E185+E186</f>
        <v>130822300</v>
      </c>
      <c r="F187" s="197">
        <f t="shared" si="117"/>
        <v>135401100</v>
      </c>
      <c r="G187" s="197">
        <f t="shared" si="117"/>
        <v>140140100</v>
      </c>
      <c r="H187" s="197">
        <f t="shared" si="117"/>
        <v>145045100</v>
      </c>
      <c r="I187" s="197">
        <f t="shared" si="117"/>
        <v>150121600</v>
      </c>
      <c r="J187" s="197">
        <f t="shared" si="117"/>
        <v>155375900</v>
      </c>
      <c r="K187" s="197">
        <f t="shared" si="117"/>
        <v>160814000</v>
      </c>
      <c r="L187" s="197">
        <f t="shared" ref="L187:U187" si="118">L185+L186</f>
        <v>166442500</v>
      </c>
      <c r="M187" s="197">
        <f t="shared" si="118"/>
        <v>172268000</v>
      </c>
      <c r="N187" s="197">
        <f t="shared" si="118"/>
        <v>178297300</v>
      </c>
      <c r="O187" s="197">
        <f t="shared" si="118"/>
        <v>184537700</v>
      </c>
      <c r="P187" s="197">
        <f t="shared" si="118"/>
        <v>190996500</v>
      </c>
      <c r="Q187" s="197">
        <f t="shared" si="118"/>
        <v>197681400</v>
      </c>
      <c r="R187" s="197">
        <f t="shared" si="118"/>
        <v>204600200</v>
      </c>
      <c r="S187" s="197">
        <f t="shared" si="118"/>
        <v>211761200</v>
      </c>
      <c r="T187" s="197">
        <f t="shared" si="118"/>
        <v>219172900</v>
      </c>
      <c r="U187" s="197">
        <f t="shared" si="118"/>
        <v>226844000</v>
      </c>
    </row>
    <row r="188" spans="1:21">
      <c r="A188" s="199"/>
      <c r="B188" s="203"/>
      <c r="C188" s="203"/>
      <c r="D188" s="203"/>
      <c r="E188" s="203"/>
      <c r="F188" s="203"/>
      <c r="G188" s="203"/>
      <c r="H188" s="203"/>
      <c r="I188" s="203"/>
      <c r="J188" s="203"/>
      <c r="K188" s="203"/>
      <c r="L188" s="203"/>
      <c r="M188" s="203"/>
      <c r="N188" s="203"/>
      <c r="O188" s="203"/>
      <c r="P188" s="203"/>
      <c r="Q188" s="203"/>
      <c r="R188" s="203"/>
      <c r="S188" s="203"/>
      <c r="T188" s="203"/>
      <c r="U188" s="203"/>
    </row>
    <row r="189" spans="1:21">
      <c r="A189" s="202" t="s">
        <v>307</v>
      </c>
      <c r="B189" s="110"/>
      <c r="C189" s="110"/>
      <c r="D189" s="110"/>
      <c r="E189" s="110"/>
      <c r="F189" s="110"/>
      <c r="G189" s="110"/>
      <c r="H189" s="110"/>
      <c r="I189" s="110"/>
      <c r="J189" s="110"/>
      <c r="K189" s="110"/>
    </row>
    <row r="190" spans="1:21">
      <c r="A190" s="94" t="s">
        <v>571</v>
      </c>
      <c r="B190" s="200">
        <f t="shared" ref="B190:U190" si="119">B19</f>
        <v>5899713.055555556</v>
      </c>
      <c r="C190" s="200">
        <f t="shared" si="119"/>
        <v>6106200</v>
      </c>
      <c r="D190" s="200">
        <f t="shared" si="119"/>
        <v>6319915</v>
      </c>
      <c r="E190" s="200">
        <f t="shared" si="119"/>
        <v>6541115</v>
      </c>
      <c r="F190" s="200">
        <f t="shared" si="119"/>
        <v>6770055</v>
      </c>
      <c r="G190" s="200">
        <f t="shared" si="119"/>
        <v>7007005</v>
      </c>
      <c r="H190" s="200">
        <f t="shared" si="119"/>
        <v>7252255</v>
      </c>
      <c r="I190" s="200">
        <f t="shared" si="119"/>
        <v>7506080</v>
      </c>
      <c r="J190" s="200">
        <f t="shared" si="119"/>
        <v>7768795</v>
      </c>
      <c r="K190" s="200">
        <f t="shared" si="119"/>
        <v>8040700</v>
      </c>
      <c r="L190" s="196">
        <f t="shared" si="119"/>
        <v>8322125</v>
      </c>
      <c r="M190" s="196">
        <f t="shared" si="119"/>
        <v>8613400</v>
      </c>
      <c r="N190" s="196">
        <f t="shared" si="119"/>
        <v>8914865</v>
      </c>
      <c r="O190" s="196">
        <f t="shared" si="119"/>
        <v>9226885</v>
      </c>
      <c r="P190" s="196">
        <f t="shared" si="119"/>
        <v>9549825</v>
      </c>
      <c r="Q190" s="196">
        <f t="shared" si="119"/>
        <v>9884070</v>
      </c>
      <c r="R190" s="196">
        <f t="shared" si="119"/>
        <v>10230010</v>
      </c>
      <c r="S190" s="196">
        <f t="shared" si="119"/>
        <v>10588060</v>
      </c>
      <c r="T190" s="196">
        <f t="shared" si="119"/>
        <v>10958645</v>
      </c>
      <c r="U190" s="196">
        <f t="shared" si="119"/>
        <v>11342200</v>
      </c>
    </row>
    <row r="191" spans="1:21">
      <c r="A191" s="94" t="s">
        <v>160</v>
      </c>
      <c r="B191" s="200">
        <f t="shared" ref="B191:U191" si="120">B20</f>
        <v>6920000</v>
      </c>
      <c r="C191" s="200">
        <f t="shared" si="120"/>
        <v>7162199.9999999991</v>
      </c>
      <c r="D191" s="200">
        <f t="shared" si="120"/>
        <v>7412876.9999999981</v>
      </c>
      <c r="E191" s="200">
        <f t="shared" si="120"/>
        <v>7672327.6949999975</v>
      </c>
      <c r="F191" s="200">
        <f t="shared" si="120"/>
        <v>7940859.164324997</v>
      </c>
      <c r="G191" s="200">
        <f t="shared" si="120"/>
        <v>8218789.2350763716</v>
      </c>
      <c r="H191" s="200">
        <f t="shared" si="120"/>
        <v>8506446.8583040442</v>
      </c>
      <c r="I191" s="200">
        <f t="shared" si="120"/>
        <v>8804172.4983446859</v>
      </c>
      <c r="J191" s="200">
        <f t="shared" si="120"/>
        <v>9112318.5357867498</v>
      </c>
      <c r="K191" s="200">
        <f t="shared" si="120"/>
        <v>9431249.6845392846</v>
      </c>
      <c r="L191" s="196">
        <f t="shared" si="120"/>
        <v>9761343.4234981593</v>
      </c>
      <c r="M191" s="196">
        <f t="shared" si="120"/>
        <v>10102990.443320595</v>
      </c>
      <c r="N191" s="196">
        <f t="shared" si="120"/>
        <v>10456595.108836815</v>
      </c>
      <c r="O191" s="196">
        <f t="shared" si="120"/>
        <v>10822575.937646102</v>
      </c>
      <c r="P191" s="196">
        <f t="shared" si="120"/>
        <v>11201366.095463715</v>
      </c>
      <c r="Q191" s="196">
        <f t="shared" si="120"/>
        <v>11593413.908804944</v>
      </c>
      <c r="R191" s="196">
        <f t="shared" si="120"/>
        <v>11999183.395613115</v>
      </c>
      <c r="S191" s="196">
        <f t="shared" si="120"/>
        <v>12419154.814459573</v>
      </c>
      <c r="T191" s="196">
        <f t="shared" si="120"/>
        <v>12853825.232965657</v>
      </c>
      <c r="U191" s="196">
        <f t="shared" si="120"/>
        <v>13303709.116119454</v>
      </c>
    </row>
    <row r="192" spans="1:21">
      <c r="A192" s="94" t="s">
        <v>161</v>
      </c>
      <c r="B192" s="200">
        <f t="shared" ref="B192:U192" si="121">B21</f>
        <v>7040000.0000000009</v>
      </c>
      <c r="C192" s="200">
        <f t="shared" si="121"/>
        <v>7286400</v>
      </c>
      <c r="D192" s="200">
        <f t="shared" si="121"/>
        <v>7541423.9999999991</v>
      </c>
      <c r="E192" s="200">
        <f t="shared" si="121"/>
        <v>7805373.839999998</v>
      </c>
      <c r="F192" s="200">
        <f t="shared" si="121"/>
        <v>8078561.9243999971</v>
      </c>
      <c r="G192" s="200">
        <f t="shared" si="121"/>
        <v>8361311.591753996</v>
      </c>
      <c r="H192" s="200">
        <f t="shared" si="121"/>
        <v>8653957.4974653851</v>
      </c>
      <c r="I192" s="200">
        <f t="shared" si="121"/>
        <v>8956846.0098766722</v>
      </c>
      <c r="J192" s="200">
        <f t="shared" si="121"/>
        <v>9270335.6202223543</v>
      </c>
      <c r="K192" s="200">
        <f t="shared" si="121"/>
        <v>9594797.3669301365</v>
      </c>
      <c r="L192" s="196">
        <f t="shared" si="121"/>
        <v>9930615.2747726906</v>
      </c>
      <c r="M192" s="196">
        <f t="shared" si="121"/>
        <v>10278186.809389735</v>
      </c>
      <c r="N192" s="196">
        <f t="shared" si="121"/>
        <v>10637923.347718375</v>
      </c>
      <c r="O192" s="196">
        <f t="shared" si="121"/>
        <v>11010250.664888518</v>
      </c>
      <c r="P192" s="196">
        <f t="shared" si="121"/>
        <v>11395609.438159615</v>
      </c>
      <c r="Q192" s="196">
        <f t="shared" si="121"/>
        <v>11794455.7684952</v>
      </c>
      <c r="R192" s="196">
        <f t="shared" si="121"/>
        <v>12207261.720392531</v>
      </c>
      <c r="S192" s="196">
        <f t="shared" si="121"/>
        <v>12634515.880606268</v>
      </c>
      <c r="T192" s="196">
        <f t="shared" si="121"/>
        <v>13076723.936427485</v>
      </c>
      <c r="U192" s="196">
        <f t="shared" si="121"/>
        <v>13534409.274202446</v>
      </c>
    </row>
    <row r="193" spans="1:21" s="277" customFormat="1">
      <c r="A193" s="274" t="s">
        <v>162</v>
      </c>
      <c r="B193" s="272">
        <f t="shared" ref="B193:U193" si="122">(C326)*Rate_ElecBlended*(1+esc_elect)^B$11+(C334)*Rate_NatGas*(1+esc_gas)^B$11+(C342)*Rate_Steam*(1+esc_steam)^B$11+(C350)*rate_util4*(1+esc_chw)^B$11+(C358)*Rate_Util5*(1+esc_hw)^B$11+(C366)*Rate_util6*(1+esc_oil)^B$11-C447</f>
        <v>10514071.578947369</v>
      </c>
      <c r="C193" s="272">
        <f t="shared" si="122"/>
        <v>10566140.963157894</v>
      </c>
      <c r="D193" s="272">
        <f t="shared" si="122"/>
        <v>10706967.892789474</v>
      </c>
      <c r="E193" s="272">
        <f t="shared" si="122"/>
        <v>10575425.354159474</v>
      </c>
      <c r="F193" s="272">
        <f t="shared" si="122"/>
        <v>10716466.896117069</v>
      </c>
      <c r="G193" s="272">
        <f t="shared" si="122"/>
        <v>10859624.59926256</v>
      </c>
      <c r="H193" s="272">
        <f t="shared" si="122"/>
        <v>11004933.74012319</v>
      </c>
      <c r="I193" s="272">
        <f t="shared" si="122"/>
        <v>11111948.733948849</v>
      </c>
      <c r="J193" s="272">
        <f t="shared" si="122"/>
        <v>11237831.129488965</v>
      </c>
      <c r="K193" s="272">
        <f t="shared" si="122"/>
        <v>11365267.607148496</v>
      </c>
      <c r="L193" s="272">
        <f t="shared" si="122"/>
        <v>11575018.421407662</v>
      </c>
      <c r="M193" s="272">
        <f t="shared" si="122"/>
        <v>11738246.34615243</v>
      </c>
      <c r="N193" s="272">
        <f t="shared" si="122"/>
        <v>11872115.952943269</v>
      </c>
      <c r="O193" s="272">
        <f t="shared" si="122"/>
        <v>12007653.998668604</v>
      </c>
      <c r="P193" s="272">
        <f t="shared" si="122"/>
        <v>12144883.762575103</v>
      </c>
      <c r="Q193" s="272">
        <f t="shared" si="122"/>
        <v>12360162.617794545</v>
      </c>
      <c r="R193" s="272">
        <f t="shared" si="122"/>
        <v>12611455.792812647</v>
      </c>
      <c r="S193" s="272">
        <f t="shared" si="122"/>
        <v>12758854.020312499</v>
      </c>
      <c r="T193" s="272">
        <f t="shared" si="122"/>
        <v>12908151.903478781</v>
      </c>
      <c r="U193" s="272">
        <f t="shared" si="122"/>
        <v>13059376.952335993</v>
      </c>
    </row>
    <row r="194" spans="1:21" s="471" customFormat="1">
      <c r="A194" s="571" t="s">
        <v>580</v>
      </c>
      <c r="B194" s="220">
        <f>IF(Alternatives!$B$83="Yes",B430*'Building Info &amp; Assumptions'!$B$119*(1+'Building Info &amp; Assumptions'!$B$120)^B182,0)</f>
        <v>0</v>
      </c>
      <c r="C194" s="220">
        <f>IF(Alternatives!$B$83="Yes",C430*'Building Info &amp; Assumptions'!$B$119*(1+'Building Info &amp; Assumptions'!$B$120)^C182,0)</f>
        <v>0</v>
      </c>
      <c r="D194" s="220">
        <f>IF(Alternatives!$B$83="Yes",D430*'Building Info &amp; Assumptions'!$B$119*(1+'Building Info &amp; Assumptions'!$B$120)^D182,0)</f>
        <v>0</v>
      </c>
      <c r="E194" s="220">
        <f>IF(Alternatives!$B$83="Yes",E430*'Building Info &amp; Assumptions'!$B$119*(1+'Building Info &amp; Assumptions'!$B$120)^E182,0)</f>
        <v>68007.11512988196</v>
      </c>
      <c r="F194" s="220">
        <f>IF(Alternatives!$B$83="Yes",F430*'Building Info &amp; Assumptions'!$B$119*(1+'Building Info &amp; Assumptions'!$B$120)^F182,0)</f>
        <v>18249.992791019326</v>
      </c>
      <c r="G194" s="220">
        <f>IF(Alternatives!$B$83="Yes",G430*'Building Info &amp; Assumptions'!$B$119*(1+'Building Info &amp; Assumptions'!$B$120)^G182,0)</f>
        <v>0</v>
      </c>
      <c r="H194" s="220">
        <f>IF(Alternatives!$B$83="Yes",H430*'Building Info &amp; Assumptions'!$B$119*(1+'Building Info &amp; Assumptions'!$B$120)^H182,0)</f>
        <v>0</v>
      </c>
      <c r="I194" s="220">
        <f>IF(Alternatives!$B$83="Yes",I430*'Building Info &amp; Assumptions'!$B$119*(1+'Building Info &amp; Assumptions'!$B$120)^I182,0)</f>
        <v>0</v>
      </c>
      <c r="J194" s="220">
        <f>IF(Alternatives!$B$83="Yes",J430*'Building Info &amp; Assumptions'!$B$119*(1+'Building Info &amp; Assumptions'!$B$120)^J182,0)</f>
        <v>0</v>
      </c>
      <c r="K194" s="220">
        <f>IF(Alternatives!$B$83="Yes",K430*'Building Info &amp; Assumptions'!$B$119*(1+'Building Info &amp; Assumptions'!$B$120)^K182,0)</f>
        <v>35499.01396081625</v>
      </c>
      <c r="L194" s="220">
        <f>IF(Alternatives!$B$83="Yes",L430*'Building Info &amp; Assumptions'!$B$119*(1+'Building Info &amp; Assumptions'!$B$120)^L182,0)</f>
        <v>16532.595809687147</v>
      </c>
      <c r="M194" s="220">
        <f>IF(Alternatives!$B$83="Yes",M430*'Building Info &amp; Assumptions'!$B$119*(1+'Building Info &amp; Assumptions'!$B$120)^M182,0)</f>
        <v>0</v>
      </c>
      <c r="N194" s="220">
        <f>IF(Alternatives!$B$83="Yes",N430*'Building Info &amp; Assumptions'!$B$119*(1+'Building Info &amp; Assumptions'!$B$120)^N182,0)</f>
        <v>0</v>
      </c>
      <c r="O194" s="220">
        <f>IF(Alternatives!$B$83="Yes",O430*'Building Info &amp; Assumptions'!$B$119*(1+'Building Info &amp; Assumptions'!$B$120)^O182,0)</f>
        <v>0</v>
      </c>
      <c r="P194" s="220">
        <f>IF(Alternatives!$B$83="Yes",P430*'Building Info &amp; Assumptions'!$B$119*(1+'Building Info &amp; Assumptions'!$B$120)^P182,0)</f>
        <v>165828.09367978995</v>
      </c>
      <c r="Q194" s="220">
        <f>IF(Alternatives!$B$83="Yes",Q430*'Building Info &amp; Assumptions'!$B$119*(1+'Building Info &amp; Assumptions'!$B$120)^Q182,0)</f>
        <v>147283.0431998178</v>
      </c>
      <c r="R194" s="220">
        <f>IF(Alternatives!$B$83="Yes",R430*'Building Info &amp; Assumptions'!$B$119*(1+'Building Info &amp; Assumptions'!$B$120)^R182,0)</f>
        <v>129183.88802343547</v>
      </c>
      <c r="S194" s="220">
        <f>IF(Alternatives!$B$83="Yes",S430*'Building Info &amp; Assumptions'!$B$119*(1+'Building Info &amp; Assumptions'!$B$120)^S182,0)</f>
        <v>117779.03995650829</v>
      </c>
      <c r="T194" s="220">
        <f>IF(Alternatives!$B$83="Yes",T430*'Building Info &amp; Assumptions'!$B$119*(1+'Building Info &amp; Assumptions'!$B$120)^T182,0)</f>
        <v>97189.844788325601</v>
      </c>
      <c r="U194" s="220">
        <f>IF(Alternatives!$B$83="Yes",U430*'Building Info &amp; Assumptions'!$B$119*(1+'Building Info &amp; Assumptions'!$B$120)^U182,0)</f>
        <v>75729.970197433053</v>
      </c>
    </row>
    <row r="195" spans="1:21" s="39" customFormat="1">
      <c r="A195" s="571" t="s">
        <v>581</v>
      </c>
      <c r="B195" s="272">
        <f>B410</f>
        <v>0</v>
      </c>
      <c r="C195" s="272">
        <f t="shared" ref="C195:U195" si="123">C410</f>
        <v>0</v>
      </c>
      <c r="D195" s="272">
        <f t="shared" si="123"/>
        <v>0</v>
      </c>
      <c r="E195" s="272">
        <f t="shared" si="123"/>
        <v>0</v>
      </c>
      <c r="F195" s="272">
        <f t="shared" si="123"/>
        <v>0</v>
      </c>
      <c r="G195" s="272">
        <f t="shared" si="123"/>
        <v>0</v>
      </c>
      <c r="H195" s="272">
        <f t="shared" si="123"/>
        <v>0</v>
      </c>
      <c r="I195" s="272">
        <f t="shared" si="123"/>
        <v>0</v>
      </c>
      <c r="J195" s="272">
        <f t="shared" si="123"/>
        <v>0</v>
      </c>
      <c r="K195" s="272">
        <f t="shared" si="123"/>
        <v>0</v>
      </c>
      <c r="L195" s="272">
        <f t="shared" si="123"/>
        <v>0</v>
      </c>
      <c r="M195" s="272">
        <f t="shared" si="123"/>
        <v>0</v>
      </c>
      <c r="N195" s="272">
        <f t="shared" si="123"/>
        <v>0</v>
      </c>
      <c r="O195" s="272">
        <f t="shared" si="123"/>
        <v>0</v>
      </c>
      <c r="P195" s="272">
        <f t="shared" si="123"/>
        <v>0</v>
      </c>
      <c r="Q195" s="272">
        <f t="shared" si="123"/>
        <v>0</v>
      </c>
      <c r="R195" s="272">
        <f t="shared" si="123"/>
        <v>0</v>
      </c>
      <c r="S195" s="272">
        <f t="shared" si="123"/>
        <v>0</v>
      </c>
      <c r="T195" s="272">
        <f t="shared" si="123"/>
        <v>0</v>
      </c>
      <c r="U195" s="272">
        <f t="shared" si="123"/>
        <v>0</v>
      </c>
    </row>
    <row r="196" spans="1:21">
      <c r="A196" s="94" t="s">
        <v>163</v>
      </c>
      <c r="B196" s="200">
        <f t="shared" ref="B196:U196" si="124">B23</f>
        <v>7040000.0000000009</v>
      </c>
      <c r="C196" s="200">
        <f t="shared" si="124"/>
        <v>7286400</v>
      </c>
      <c r="D196" s="200">
        <f t="shared" si="124"/>
        <v>7541423.9999999991</v>
      </c>
      <c r="E196" s="200">
        <f t="shared" si="124"/>
        <v>7805373.839999998</v>
      </c>
      <c r="F196" s="200">
        <f t="shared" si="124"/>
        <v>8078561.9243999971</v>
      </c>
      <c r="G196" s="200">
        <f t="shared" si="124"/>
        <v>8361311.591753996</v>
      </c>
      <c r="H196" s="200">
        <f t="shared" si="124"/>
        <v>8653957.4974653851</v>
      </c>
      <c r="I196" s="200">
        <f t="shared" si="124"/>
        <v>8956846.0098766722</v>
      </c>
      <c r="J196" s="200">
        <f t="shared" si="124"/>
        <v>9270335.6202223543</v>
      </c>
      <c r="K196" s="200">
        <f t="shared" si="124"/>
        <v>9594797.3669301365</v>
      </c>
      <c r="L196" s="196">
        <f t="shared" si="124"/>
        <v>9930615.2747726906</v>
      </c>
      <c r="M196" s="196">
        <f t="shared" si="124"/>
        <v>10278186.809389735</v>
      </c>
      <c r="N196" s="196">
        <f t="shared" si="124"/>
        <v>10637923.347718375</v>
      </c>
      <c r="O196" s="196">
        <f t="shared" si="124"/>
        <v>11010250.664888518</v>
      </c>
      <c r="P196" s="196">
        <f t="shared" si="124"/>
        <v>11395609.438159615</v>
      </c>
      <c r="Q196" s="196">
        <f t="shared" si="124"/>
        <v>11794455.7684952</v>
      </c>
      <c r="R196" s="196">
        <f t="shared" si="124"/>
        <v>12207261.720392531</v>
      </c>
      <c r="S196" s="196">
        <f t="shared" si="124"/>
        <v>12634515.880606268</v>
      </c>
      <c r="T196" s="196">
        <f t="shared" si="124"/>
        <v>13076723.936427485</v>
      </c>
      <c r="U196" s="196">
        <f t="shared" si="124"/>
        <v>13534409.274202446</v>
      </c>
    </row>
    <row r="197" spans="1:21">
      <c r="A197" s="94" t="s">
        <v>164</v>
      </c>
      <c r="B197" s="200">
        <f t="shared" ref="B197:U197" si="125">B24</f>
        <v>6680000</v>
      </c>
      <c r="C197" s="200">
        <f t="shared" si="125"/>
        <v>6913799.9999999991</v>
      </c>
      <c r="D197" s="200">
        <f t="shared" si="125"/>
        <v>7155782.9999999981</v>
      </c>
      <c r="E197" s="200">
        <f t="shared" si="125"/>
        <v>7406235.4049999975</v>
      </c>
      <c r="F197" s="200">
        <f t="shared" si="125"/>
        <v>7665453.6441749968</v>
      </c>
      <c r="G197" s="200">
        <f t="shared" si="125"/>
        <v>7933744.5217211209</v>
      </c>
      <c r="H197" s="200">
        <f t="shared" si="125"/>
        <v>8211425.5799813597</v>
      </c>
      <c r="I197" s="200">
        <f t="shared" si="125"/>
        <v>8498825.4752807058</v>
      </c>
      <c r="J197" s="200">
        <f t="shared" si="125"/>
        <v>8796284.3669155296</v>
      </c>
      <c r="K197" s="200">
        <f t="shared" si="125"/>
        <v>9104154.3197575733</v>
      </c>
      <c r="L197" s="196">
        <f t="shared" si="125"/>
        <v>9422799.7209490873</v>
      </c>
      <c r="M197" s="196">
        <f t="shared" si="125"/>
        <v>9752597.7111823037</v>
      </c>
      <c r="N197" s="196">
        <f t="shared" si="125"/>
        <v>10093938.631073684</v>
      </c>
      <c r="O197" s="196">
        <f t="shared" si="125"/>
        <v>10447226.483161261</v>
      </c>
      <c r="P197" s="196">
        <f t="shared" si="125"/>
        <v>10812879.410071904</v>
      </c>
      <c r="Q197" s="196">
        <f t="shared" si="125"/>
        <v>11191330.18942442</v>
      </c>
      <c r="R197" s="196">
        <f t="shared" si="125"/>
        <v>11583026.746054273</v>
      </c>
      <c r="S197" s="196">
        <f t="shared" si="125"/>
        <v>11988432.682166172</v>
      </c>
      <c r="T197" s="196">
        <f t="shared" si="125"/>
        <v>12408027.826041987</v>
      </c>
      <c r="U197" s="196">
        <f t="shared" si="125"/>
        <v>12842308.799953455</v>
      </c>
    </row>
    <row r="198" spans="1:21">
      <c r="A198" s="94" t="s">
        <v>165</v>
      </c>
      <c r="B198" s="200">
        <f t="shared" ref="B198:U198" si="126">B25</f>
        <v>2279999.9999999995</v>
      </c>
      <c r="C198" s="200">
        <f t="shared" si="126"/>
        <v>2359799.9999999995</v>
      </c>
      <c r="D198" s="200">
        <f t="shared" si="126"/>
        <v>2442392.9999999995</v>
      </c>
      <c r="E198" s="200">
        <f t="shared" si="126"/>
        <v>2527876.7549999994</v>
      </c>
      <c r="F198" s="200">
        <f t="shared" si="126"/>
        <v>2616352.4414249994</v>
      </c>
      <c r="G198" s="200">
        <f t="shared" si="126"/>
        <v>2707924.7768748743</v>
      </c>
      <c r="H198" s="200">
        <f t="shared" si="126"/>
        <v>2802702.1440654946</v>
      </c>
      <c r="I198" s="200">
        <f t="shared" si="126"/>
        <v>2900796.7191077867</v>
      </c>
      <c r="J198" s="200">
        <f t="shared" si="126"/>
        <v>3002324.6042765588</v>
      </c>
      <c r="K198" s="200">
        <f t="shared" si="126"/>
        <v>3107405.9654262383</v>
      </c>
      <c r="L198" s="196">
        <f t="shared" si="126"/>
        <v>3216165.1742161564</v>
      </c>
      <c r="M198" s="196">
        <f t="shared" si="126"/>
        <v>3328730.9553137217</v>
      </c>
      <c r="N198" s="196">
        <f t="shared" si="126"/>
        <v>3445236.5387497018</v>
      </c>
      <c r="O198" s="196">
        <f t="shared" si="126"/>
        <v>3565819.8176059411</v>
      </c>
      <c r="P198" s="196">
        <f t="shared" si="126"/>
        <v>3690623.5112221488</v>
      </c>
      <c r="Q198" s="196">
        <f t="shared" si="126"/>
        <v>3819795.3341149236</v>
      </c>
      <c r="R198" s="196">
        <f t="shared" si="126"/>
        <v>3953488.1708089458</v>
      </c>
      <c r="S198" s="196">
        <f t="shared" si="126"/>
        <v>4091860.2567872587</v>
      </c>
      <c r="T198" s="196">
        <f t="shared" si="126"/>
        <v>4235075.3657748122</v>
      </c>
      <c r="U198" s="196">
        <f t="shared" si="126"/>
        <v>4383303.0035769306</v>
      </c>
    </row>
    <row r="199" spans="1:21">
      <c r="A199" s="94" t="s">
        <v>166</v>
      </c>
      <c r="B199" s="200">
        <f t="shared" ref="B199:U199" si="127">B26</f>
        <v>2900000</v>
      </c>
      <c r="C199" s="200">
        <f t="shared" si="127"/>
        <v>3001500</v>
      </c>
      <c r="D199" s="200">
        <f t="shared" si="127"/>
        <v>3106552.4999999995</v>
      </c>
      <c r="E199" s="200">
        <f t="shared" si="127"/>
        <v>3215281.8374999994</v>
      </c>
      <c r="F199" s="200">
        <f t="shared" si="127"/>
        <v>3327816.7018124992</v>
      </c>
      <c r="G199" s="200">
        <f t="shared" si="127"/>
        <v>3444290.2863759366</v>
      </c>
      <c r="H199" s="200">
        <f t="shared" si="127"/>
        <v>3564840.4463990941</v>
      </c>
      <c r="I199" s="200">
        <f t="shared" si="127"/>
        <v>3689609.8620230621</v>
      </c>
      <c r="J199" s="200">
        <f t="shared" si="127"/>
        <v>3818746.2071938692</v>
      </c>
      <c r="K199" s="200">
        <f t="shared" si="127"/>
        <v>3952402.3244456542</v>
      </c>
      <c r="L199" s="196">
        <f t="shared" si="127"/>
        <v>4090736.4058012515</v>
      </c>
      <c r="M199" s="196">
        <f t="shared" si="127"/>
        <v>4233912.180004295</v>
      </c>
      <c r="N199" s="196">
        <f t="shared" si="127"/>
        <v>4382099.1063044453</v>
      </c>
      <c r="O199" s="196">
        <f t="shared" si="127"/>
        <v>4535472.5750251003</v>
      </c>
      <c r="P199" s="196">
        <f t="shared" si="127"/>
        <v>4694214.1151509788</v>
      </c>
      <c r="Q199" s="196">
        <f t="shared" si="127"/>
        <v>4858511.6091812626</v>
      </c>
      <c r="R199" s="196">
        <f t="shared" si="127"/>
        <v>5028559.5155026065</v>
      </c>
      <c r="S199" s="196">
        <f t="shared" si="127"/>
        <v>5204559.0985451974</v>
      </c>
      <c r="T199" s="196">
        <f t="shared" si="127"/>
        <v>5386718.6669942793</v>
      </c>
      <c r="U199" s="196">
        <f t="shared" si="127"/>
        <v>5575253.820339079</v>
      </c>
    </row>
    <row r="200" spans="1:21">
      <c r="A200" s="94" t="s">
        <v>572</v>
      </c>
      <c r="B200" s="200">
        <f>+'Building Info &amp; Assumptions'!B$409</f>
        <v>0</v>
      </c>
      <c r="C200" s="200">
        <f>+'Building Info &amp; Assumptions'!C$409</f>
        <v>0</v>
      </c>
      <c r="D200" s="200">
        <f>+'Building Info &amp; Assumptions'!D$409</f>
        <v>0</v>
      </c>
      <c r="E200" s="200">
        <f>+'Building Info &amp; Assumptions'!E$409</f>
        <v>0</v>
      </c>
      <c r="F200" s="200">
        <f>+'Building Info &amp; Assumptions'!F$409</f>
        <v>0</v>
      </c>
      <c r="G200" s="200">
        <f>+'Building Info &amp; Assumptions'!G$409</f>
        <v>0</v>
      </c>
      <c r="H200" s="200">
        <f>+'Building Info &amp; Assumptions'!H$409</f>
        <v>0</v>
      </c>
      <c r="I200" s="200">
        <f>+'Building Info &amp; Assumptions'!I$409</f>
        <v>0</v>
      </c>
      <c r="J200" s="200">
        <f>+'Building Info &amp; Assumptions'!J$409</f>
        <v>0</v>
      </c>
      <c r="K200" s="200">
        <f>+'Building Info &amp; Assumptions'!K$409</f>
        <v>0</v>
      </c>
      <c r="L200" s="200">
        <f>+'Building Info &amp; Assumptions'!L$409</f>
        <v>0</v>
      </c>
      <c r="M200" s="200">
        <f>+'Building Info &amp; Assumptions'!M$409</f>
        <v>0</v>
      </c>
      <c r="N200" s="200">
        <f>+'Building Info &amp; Assumptions'!N$409</f>
        <v>0</v>
      </c>
      <c r="O200" s="200">
        <f>+'Building Info &amp; Assumptions'!O$409</f>
        <v>0</v>
      </c>
      <c r="P200" s="200">
        <f>+'Building Info &amp; Assumptions'!P$409</f>
        <v>0</v>
      </c>
      <c r="Q200" s="200">
        <f>+'Building Info &amp; Assumptions'!Q$409</f>
        <v>0</v>
      </c>
      <c r="R200" s="200">
        <f>+'Building Info &amp; Assumptions'!R$409</f>
        <v>0</v>
      </c>
      <c r="S200" s="200">
        <f>+'Building Info &amp; Assumptions'!S$409</f>
        <v>0</v>
      </c>
      <c r="T200" s="200">
        <f>+'Building Info &amp; Assumptions'!T$409</f>
        <v>0</v>
      </c>
      <c r="U200" s="200">
        <f>+'Building Info &amp; Assumptions'!U$409</f>
        <v>0</v>
      </c>
    </row>
    <row r="201" spans="1:21">
      <c r="A201" s="274" t="s">
        <v>6</v>
      </c>
      <c r="B201" s="200">
        <f>SUMIF(Alternatives!$I$63:$I$82,B182,Alternatives!$G$63:$G$82)</f>
        <v>0</v>
      </c>
      <c r="C201" s="200">
        <f>SUMIF(Alternatives!$I$63:$I$82,C182,Alternatives!$G$63:$G$82)*(1+'Building Info &amp; Assumptions'!$E$77)^B182</f>
        <v>0</v>
      </c>
      <c r="D201" s="200">
        <f>SUMIF(Alternatives!$I$63:$I$82,D182,Alternatives!$G$63:$G$82)*(1+'Building Info &amp; Assumptions'!$E$77)^C182</f>
        <v>0</v>
      </c>
      <c r="E201" s="200">
        <f>SUMIF(Alternatives!$I$63:$I$82,E182,Alternatives!$G$63:$G$82)*(1+'Building Info &amp; Assumptions'!$E$77)^D182</f>
        <v>0</v>
      </c>
      <c r="F201" s="200">
        <f>SUMIF(Alternatives!$I$63:$I$82,F182,Alternatives!$G$63:$G$82)*(1+'Building Info &amp; Assumptions'!$E$77)^E182</f>
        <v>0</v>
      </c>
      <c r="G201" s="200">
        <f>SUMIF(Alternatives!$I$63:$I$82,G182,Alternatives!$G$63:$G$82)*(1+'Building Info &amp; Assumptions'!$E$77)^F182</f>
        <v>0</v>
      </c>
      <c r="H201" s="200">
        <f>SUMIF(Alternatives!$I$63:$I$82,H182,Alternatives!$G$63:$G$82)*(1+'Building Info &amp; Assumptions'!$E$77)^G182</f>
        <v>0</v>
      </c>
      <c r="I201" s="200">
        <f>SUMIF(Alternatives!$I$63:$I$82,I182,Alternatives!$G$63:$G$82)*(1+'Building Info &amp; Assumptions'!$E$77)^H182</f>
        <v>0</v>
      </c>
      <c r="J201" s="200">
        <f>SUMIF(Alternatives!$I$63:$I$82,J182,Alternatives!$G$63:$G$82)*(1+'Building Info &amp; Assumptions'!$E$77)^I182</f>
        <v>0</v>
      </c>
      <c r="K201" s="200">
        <f>SUMIF(Alternatives!$I$63:$I$82,K182,Alternatives!$G$63:$G$82)*(1+'Building Info &amp; Assumptions'!$E$77)^J182</f>
        <v>0</v>
      </c>
      <c r="L201" s="196">
        <f>SUMIF(Alternatives!$I$63:$I$82,L182,Alternatives!$G$63:$G$82)*(1+'Building Info &amp; Assumptions'!$E$77)^K182</f>
        <v>0</v>
      </c>
      <c r="M201" s="196">
        <f>SUMIF(Alternatives!$I$63:$I$82,M182,Alternatives!$G$63:$G$82)*(1+'Building Info &amp; Assumptions'!$E$77)^L182</f>
        <v>0</v>
      </c>
      <c r="N201" s="196">
        <f>SUMIF(Alternatives!$I$63:$I$82,N182,Alternatives!$G$63:$G$82)*(1+'Building Info &amp; Assumptions'!$E$77)^M182</f>
        <v>0</v>
      </c>
      <c r="O201" s="196">
        <f>SUMIF(Alternatives!$I$63:$I$82,O182,Alternatives!$G$63:$G$82)*(1+'Building Info &amp; Assumptions'!$E$77)^N182</f>
        <v>0</v>
      </c>
      <c r="P201" s="196">
        <f>SUMIF(Alternatives!$I$63:$I$82,P182,Alternatives!$G$63:$G$82)*(1+'Building Info &amp; Assumptions'!$E$77)^O182</f>
        <v>0</v>
      </c>
      <c r="Q201" s="196">
        <f>SUMIF(Alternatives!$I$63:$I$82,Q182,Alternatives!$G$63:$G$82)*(1+'Building Info &amp; Assumptions'!$E$77)^P182</f>
        <v>0</v>
      </c>
      <c r="R201" s="196">
        <f>SUMIF(Alternatives!$I$63:$I$82,R182,Alternatives!$G$63:$G$82)*(1+'Building Info &amp; Assumptions'!$E$77)^Q182</f>
        <v>0</v>
      </c>
      <c r="S201" s="196">
        <f>SUMIF(Alternatives!$I$63:$I$82,S182,Alternatives!$G$63:$G$82)*(1+'Building Info &amp; Assumptions'!$E$77)^R182</f>
        <v>0</v>
      </c>
      <c r="T201" s="196">
        <f>SUMIF(Alternatives!$I$63:$I$82,T182,Alternatives!$G$63:$G$82)*(1+'Building Info &amp; Assumptions'!$E$77)^S182</f>
        <v>0</v>
      </c>
      <c r="U201" s="196">
        <f>SUMIF(Alternatives!$I$63:$I$82,U182,Alternatives!$G$63:$G$82)*(1+'Building Info &amp; Assumptions'!$E$77)^T182</f>
        <v>0</v>
      </c>
    </row>
    <row r="202" spans="1:21">
      <c r="A202" s="271" t="s">
        <v>5</v>
      </c>
      <c r="B202" s="272">
        <f>SUMIF(Alternatives!$I$63:$I$82,B182,Alternatives!$F$63:$F$82)</f>
        <v>500000</v>
      </c>
      <c r="C202" s="272">
        <f>SUMIF(Alternatives!$I$63:$I$82,C182,Alternatives!$F$63:$F$82)*(1+'Building Info &amp; Assumptions'!$E$77)^B182</f>
        <v>1759499.9999999998</v>
      </c>
      <c r="D202" s="272">
        <f>SUMIF(Alternatives!$I$63:$I$82,D182,Alternatives!$F$63:$F$82)*(1+'Building Info &amp; Assumptions'!$E$77)^C182</f>
        <v>0</v>
      </c>
      <c r="E202" s="272">
        <f>SUMIF(Alternatives!$I$63:$I$82,E182,Alternatives!$F$63:$F$82)*(1+'Building Info &amp; Assumptions'!$E$77)^D182</f>
        <v>3326153.6249999991</v>
      </c>
      <c r="F202" s="272">
        <f>SUMIF(Alternatives!$I$63:$I$82,F182,Alternatives!$F$63:$F$82)*(1+'Building Info &amp; Assumptions'!$E$77)^E182</f>
        <v>0</v>
      </c>
      <c r="G202" s="272">
        <f>SUMIF(Alternatives!$I$63:$I$82,G182,Alternatives!$F$63:$F$82)*(1+'Building Info &amp; Assumptions'!$E$77)^F182</f>
        <v>0</v>
      </c>
      <c r="H202" s="272">
        <f>SUMIF(Alternatives!$I$63:$I$82,H182,Alternatives!$F$63:$F$82)*(1+'Building Info &amp; Assumptions'!$E$77)^G182</f>
        <v>0</v>
      </c>
      <c r="I202" s="272">
        <f>SUMIF(Alternatives!$I$63:$I$82,I182,Alternatives!$F$63:$F$82)*(1+'Building Info &amp; Assumptions'!$E$77)^H182</f>
        <v>5089117.0510662924</v>
      </c>
      <c r="J202" s="272">
        <f>SUMIF(Alternatives!$I$63:$I$82,J182,Alternatives!$F$63:$F$82)*(1+'Building Info &amp; Assumptions'!$E$77)^I182</f>
        <v>0</v>
      </c>
      <c r="K202" s="272">
        <f>SUMIF(Alternatives!$I$63:$I$82,K182,Alternatives!$F$63:$F$82)*(1+'Building Info &amp; Assumptions'!$E$77)^J182</f>
        <v>0</v>
      </c>
      <c r="L202" s="272">
        <f>SUMIF(Alternatives!$I$63:$I$82,L182,Alternatives!$F$63:$F$82)*(1+'Building Info &amp; Assumptions'!$E$77)^K182</f>
        <v>0</v>
      </c>
      <c r="M202" s="272">
        <f>SUMIF(Alternatives!$I$63:$I$82,M182,Alternatives!$F$63:$F$82)*(1+'Building Info &amp; Assumptions'!$E$77)^L182</f>
        <v>0</v>
      </c>
      <c r="N202" s="272">
        <f>SUMIF(Alternatives!$I$63:$I$82,N182,Alternatives!$F$63:$F$82)*(1+'Building Info &amp; Assumptions'!$E$77)^M182</f>
        <v>0</v>
      </c>
      <c r="O202" s="272">
        <f>SUMIF(Alternatives!$I$63:$I$82,O182,Alternatives!$F$63:$F$82)*(1+'Building Info &amp; Assumptions'!$E$77)^N182</f>
        <v>0</v>
      </c>
      <c r="P202" s="272">
        <f>SUMIF(Alternatives!$I$63:$I$82,P182,Alternatives!$F$63:$F$82)*(1+'Building Info &amp; Assumptions'!$E$77)^O182</f>
        <v>0</v>
      </c>
      <c r="Q202" s="272">
        <f>SUMIF(Alternatives!$I$63:$I$82,Q182,Alternatives!$F$63:$F$82)*(1+'Building Info &amp; Assumptions'!$E$77)^P182</f>
        <v>0</v>
      </c>
      <c r="R202" s="272">
        <f>SUMIF(Alternatives!$I$63:$I$82,R182,Alternatives!$F$63:$F$82)*(1+'Building Info &amp; Assumptions'!$E$77)^Q182</f>
        <v>0</v>
      </c>
      <c r="S202" s="272">
        <f>SUMIF(Alternatives!$I$63:$I$82,S182,Alternatives!$F$63:$F$82)*(1+'Building Info &amp; Assumptions'!$E$77)^R182</f>
        <v>0</v>
      </c>
      <c r="T202" s="272">
        <f>SUMIF(Alternatives!$I$63:$I$82,T182,Alternatives!$F$63:$F$82)*(1+'Building Info &amp; Assumptions'!$E$77)^S182</f>
        <v>0</v>
      </c>
      <c r="U202" s="272">
        <f>SUMIF(Alternatives!$I$63:$I$82,U182,Alternatives!$F$63:$F$82)*(1+'Building Info &amp; Assumptions'!$E$77)^T182</f>
        <v>0</v>
      </c>
    </row>
    <row r="203" spans="1:21">
      <c r="A203" s="110"/>
      <c r="B203" s="204"/>
      <c r="C203" s="205"/>
      <c r="D203" s="205"/>
      <c r="E203" s="205"/>
      <c r="F203" s="205"/>
      <c r="G203" s="205"/>
      <c r="H203" s="205"/>
      <c r="I203" s="205"/>
      <c r="J203" s="205"/>
      <c r="K203" s="205"/>
      <c r="L203" s="205"/>
      <c r="M203" s="205"/>
      <c r="N203" s="205"/>
      <c r="O203" s="205"/>
      <c r="P203" s="205"/>
      <c r="Q203" s="205"/>
      <c r="R203" s="205"/>
      <c r="S203" s="205"/>
      <c r="T203" s="205"/>
      <c r="U203" s="205"/>
    </row>
    <row r="204" spans="1:21" s="110" customFormat="1">
      <c r="A204" s="571" t="s">
        <v>573</v>
      </c>
      <c r="B204" s="220">
        <f>-SUMIFS(Alternatives!$D$63:$D$82,Alternatives!$I$63:$I$82,B182,Alternatives!$H$63:$H$82,"Yes")</f>
        <v>-80000</v>
      </c>
      <c r="C204" s="220">
        <f>IF($B$6&gt;=C182, (B204*(1+'Building Info &amp; Assumptions'!$E$77))-SUMIFS(Alternatives!$D$63:$D$82,Alternatives!$I$63:$I$82,C182,Alternatives!$H$63:$H$82,"Yes")*(1+'Building Info &amp; Assumptions'!$E$77)^B182, 0)</f>
        <v>-170775</v>
      </c>
      <c r="D204" s="220">
        <f>IF($B$6&gt;=D182, (C204*(1+'Building Info &amp; Assumptions'!$E$77))-SUMIFS(Alternatives!$D$63:$D$82,Alternatives!$I$63:$I$82,D182,Alternatives!$H$63:$H$82,"Yes")*(1+'Building Info &amp; Assumptions'!$E$77)^C182, 0)</f>
        <v>-176752.125</v>
      </c>
      <c r="E204" s="220">
        <f>IF($B$6&gt;=E182, (D204*(1+'Building Info &amp; Assumptions'!$E$77))-SUMIFS(Alternatives!$D$63:$D$82,Alternatives!$I$63:$I$82,E182,Alternatives!$H$63:$H$82,"Yes")*(1+'Building Info &amp; Assumptions'!$E$77)^D182, 0)</f>
        <v>-182938.449375</v>
      </c>
      <c r="F204" s="220">
        <f>IF($B$6&gt;=F182, (E204*(1+'Building Info &amp; Assumptions'!$E$77))-SUMIFS(Alternatives!$D$63:$D$82,Alternatives!$I$63:$I$82,F182,Alternatives!$H$63:$H$82,"Yes")*(1+'Building Info &amp; Assumptions'!$E$77)^E182, 0)</f>
        <v>-189341.29510312498</v>
      </c>
      <c r="G204" s="220">
        <f>IF($B$6&gt;=G182, (F204*(1+'Building Info &amp; Assumptions'!$E$77))-SUMIFS(Alternatives!$D$63:$D$82,Alternatives!$I$63:$I$82,G182,Alternatives!$H$63:$H$82,"Yes")*(1+'Building Info &amp; Assumptions'!$E$77)^F182, 0)</f>
        <v>-195968.24043173433</v>
      </c>
      <c r="H204" s="220">
        <f>IF($B$6&gt;=H182, (G204*(1+'Building Info &amp; Assumptions'!$E$77))-SUMIFS(Alternatives!$D$63:$D$82,Alternatives!$I$63:$I$82,H182,Alternatives!$H$63:$H$82,"Yes")*(1+'Building Info &amp; Assumptions'!$E$77)^G182, 0)</f>
        <v>-202827.12884684501</v>
      </c>
      <c r="I204" s="220">
        <f>IF($B$6&gt;=I182, (H204*(1+'Building Info &amp; Assumptions'!$E$77))-SUMIFS(Alternatives!$D$63:$D$82,Alternatives!$I$63:$I$82,I182,Alternatives!$H$63:$H$82,"Yes")*(1+'Building Info &amp; Assumptions'!$E$77)^H182, 0)</f>
        <v>-209926.07835648456</v>
      </c>
      <c r="J204" s="220">
        <f>IF($B$6&gt;=J182, (I204*(1+'Building Info &amp; Assumptions'!$E$77))-SUMIFS(Alternatives!$D$63:$D$82,Alternatives!$I$63:$I$82,J182,Alternatives!$H$63:$H$82,"Yes")*(1+'Building Info &amp; Assumptions'!$E$77)^I182, 0)</f>
        <v>-217273.4910989615</v>
      </c>
      <c r="K204" s="220">
        <f>IF($B$6&gt;=K182, (J204*(1+'Building Info &amp; Assumptions'!$E$77))-SUMIFS(Alternatives!$D$63:$D$82,Alternatives!$I$63:$I$82,K182,Alternatives!$H$63:$H$82,"Yes")*(1+'Building Info &amp; Assumptions'!$E$77)^J182, 0)</f>
        <v>-224878.06328742515</v>
      </c>
      <c r="L204" s="220">
        <f>IF($B$6&gt;=L182, (K204*(1+'Building Info &amp; Assumptions'!$E$77))-SUMIFS(Alternatives!$D$63:$D$82,Alternatives!$I$63:$I$82,L182,Alternatives!$H$63:$H$82,"Yes")*(1+'Building Info &amp; Assumptions'!$E$77)^K182, 0)</f>
        <v>-232748.79550248501</v>
      </c>
      <c r="M204" s="220">
        <f>IF($B$6&gt;=M182, (L204*(1+'Building Info &amp; Assumptions'!$E$77))-SUMIFS(Alternatives!$D$63:$D$82,Alternatives!$I$63:$I$82,M182,Alternatives!$H$63:$H$82,"Yes")*(1+'Building Info &amp; Assumptions'!$E$77)^L182, 0)</f>
        <v>-240895.00334507198</v>
      </c>
      <c r="N204" s="220">
        <f>IF($B$6&gt;=N182, (M204*(1+'Building Info &amp; Assumptions'!$E$77))-SUMIFS(Alternatives!$D$63:$D$82,Alternatives!$I$63:$I$82,N182,Alternatives!$H$63:$H$82,"Yes")*(1+'Building Info &amp; Assumptions'!$E$77)^M182, 0)</f>
        <v>-249326.32846214948</v>
      </c>
      <c r="O204" s="220">
        <f>IF($B$6&gt;=O182, (N204*(1+'Building Info &amp; Assumptions'!$E$77))-SUMIFS(Alternatives!$D$63:$D$82,Alternatives!$I$63:$I$82,O182,Alternatives!$H$63:$H$82,"Yes")*(1+'Building Info &amp; Assumptions'!$E$77)^N182, 0)</f>
        <v>-258052.74995832468</v>
      </c>
      <c r="P204" s="220">
        <f>IF($B$6&gt;=P182, (O204*(1+'Building Info &amp; Assumptions'!$E$77))-SUMIFS(Alternatives!$D$63:$D$82,Alternatives!$I$63:$I$82,P182,Alternatives!$H$63:$H$82,"Yes")*(1+'Building Info &amp; Assumptions'!$E$77)^O182, 0)</f>
        <v>-267084.59620686603</v>
      </c>
      <c r="Q204" s="220">
        <f>IF($B$6&gt;=Q182, (P204*(1+'Building Info &amp; Assumptions'!$E$77))-SUMIFS(Alternatives!$D$63:$D$82,Alternatives!$I$63:$I$82,Q182,Alternatives!$H$63:$H$82,"Yes")*(1+'Building Info &amp; Assumptions'!$E$77)^P182, 0)</f>
        <v>-276432.5570741063</v>
      </c>
      <c r="R204" s="220">
        <f>IF($B$6&gt;=R182, (Q204*(1+'Building Info &amp; Assumptions'!$E$77))-SUMIFS(Alternatives!$D$63:$D$82,Alternatives!$I$63:$I$82,R182,Alternatives!$H$63:$H$82,"Yes")*(1+'Building Info &amp; Assumptions'!$E$77)^Q182, 0)</f>
        <v>-286107.69657169998</v>
      </c>
      <c r="S204" s="220">
        <f>IF($B$6&gt;=S182, (R204*(1+'Building Info &amp; Assumptions'!$E$77))-SUMIFS(Alternatives!$D$63:$D$82,Alternatives!$I$63:$I$82,S182,Alternatives!$H$63:$H$82,"Yes")*(1+'Building Info &amp; Assumptions'!$E$77)^R182, 0)</f>
        <v>-296121.46595170948</v>
      </c>
      <c r="T204" s="220">
        <f>IF($B$6&gt;=T182, (S204*(1+'Building Info &amp; Assumptions'!$E$77))-SUMIFS(Alternatives!$D$63:$D$82,Alternatives!$I$63:$I$82,T182,Alternatives!$H$63:$H$82,"Yes")*(1+'Building Info &amp; Assumptions'!$E$77)^S182, 0)</f>
        <v>-306485.71726001927</v>
      </c>
      <c r="U204" s="220">
        <f>IF($B$6&gt;=U182, (T204*(1+'Building Info &amp; Assumptions'!$E$77))-SUMIFS(Alternatives!$D$63:$D$82,Alternatives!$I$63:$I$82,U182,Alternatives!$H$63:$H$82,"Yes")*(1+'Building Info &amp; Assumptions'!$E$77)^T182, 0)</f>
        <v>-317212.71736411995</v>
      </c>
    </row>
    <row r="205" spans="1:21" s="110" customFormat="1">
      <c r="A205" s="571" t="s">
        <v>574</v>
      </c>
      <c r="B205" s="272">
        <f>SUMIFS(Alternatives!$G$63:$G$82,Alternatives!$I$63:$I$82,B182,Alternatives!$H$63:$H$82,"Yes")</f>
        <v>0</v>
      </c>
      <c r="C205" s="272">
        <f>SUMIFS(Alternatives!$G$63:$G$82,Alternatives!$I$63:$I$82,C182,Alternatives!$H$63:$H$82,"Yes")*(1+'Building Info &amp; Assumptions'!$E$77)^B182</f>
        <v>0</v>
      </c>
      <c r="D205" s="272">
        <f>SUMIFS(Alternatives!$G$63:$G$82,Alternatives!$I$63:$I$82,D182,Alternatives!$H$63:$H$82,"Yes")*(1+'Building Info &amp; Assumptions'!$E$77)^C182</f>
        <v>0</v>
      </c>
      <c r="E205" s="272">
        <f>SUMIFS(Alternatives!$G$63:$G$82,Alternatives!$I$63:$I$82,E182,Alternatives!$H$63:$H$82,"Yes")*(1+'Building Info &amp; Assumptions'!$E$77)^D182</f>
        <v>0</v>
      </c>
      <c r="F205" s="272">
        <f>SUMIFS(Alternatives!$G$63:$G$82,Alternatives!$I$63:$I$82,F182,Alternatives!$H$63:$H$82,"Yes")*(1+'Building Info &amp; Assumptions'!$E$77)^E182</f>
        <v>0</v>
      </c>
      <c r="G205" s="272">
        <f>SUMIFS(Alternatives!$G$63:$G$82,Alternatives!$I$63:$I$82,G182,Alternatives!$H$63:$H$82,"Yes")*(1+'Building Info &amp; Assumptions'!$E$77)^F182</f>
        <v>0</v>
      </c>
      <c r="H205" s="272">
        <f>SUMIFS(Alternatives!$G$63:$G$82,Alternatives!$I$63:$I$82,H182,Alternatives!$H$63:$H$82,"Yes")*(1+'Building Info &amp; Assumptions'!$E$77)^G182</f>
        <v>0</v>
      </c>
      <c r="I205" s="272">
        <f>SUMIFS(Alternatives!$G$63:$G$82,Alternatives!$I$63:$I$82,I182,Alternatives!$H$63:$H$82,"Yes")*(1+'Building Info &amp; Assumptions'!$E$77)^H182</f>
        <v>0</v>
      </c>
      <c r="J205" s="272">
        <f>SUMIFS(Alternatives!$G$63:$G$82,Alternatives!$I$63:$I$82,J182,Alternatives!$H$63:$H$82,"Yes")*(1+'Building Info &amp; Assumptions'!$E$77)^I182</f>
        <v>0</v>
      </c>
      <c r="K205" s="272">
        <f>SUMIFS(Alternatives!$G$63:$G$82,Alternatives!$I$63:$I$82,K182,Alternatives!$H$63:$H$82,"Yes")*(1+'Building Info &amp; Assumptions'!$E$77)^J182</f>
        <v>0</v>
      </c>
      <c r="L205" s="272">
        <f>SUMIFS(Alternatives!$G$63:$G$82,Alternatives!$I$63:$I$82,L182,Alternatives!$H$63:$H$82,"Yes")*(1+'Building Info &amp; Assumptions'!$E$77)^K182</f>
        <v>0</v>
      </c>
      <c r="M205" s="272">
        <f>SUMIFS(Alternatives!$G$63:$G$82,Alternatives!$I$63:$I$82,M182,Alternatives!$H$63:$H$82,"Yes")*(1+'Building Info &amp; Assumptions'!$E$77)^L182</f>
        <v>0</v>
      </c>
      <c r="N205" s="272">
        <f>SUMIFS(Alternatives!$G$63:$G$82,Alternatives!$I$63:$I$82,N182,Alternatives!$H$63:$H$82,"Yes")*(1+'Building Info &amp; Assumptions'!$E$77)^M182</f>
        <v>0</v>
      </c>
      <c r="O205" s="272">
        <f>SUMIFS(Alternatives!$G$63:$G$82,Alternatives!$I$63:$I$82,O182,Alternatives!$H$63:$H$82,"Yes")*(1+'Building Info &amp; Assumptions'!$E$77)^N182</f>
        <v>0</v>
      </c>
      <c r="P205" s="272">
        <f>SUMIFS(Alternatives!$G$63:$G$82,Alternatives!$I$63:$I$82,P182,Alternatives!$H$63:$H$82,"Yes")*(1+'Building Info &amp; Assumptions'!$E$77)^O182</f>
        <v>0</v>
      </c>
      <c r="Q205" s="272">
        <f>SUMIFS(Alternatives!$G$63:$G$82,Alternatives!$I$63:$I$82,Q182,Alternatives!$H$63:$H$82,"Yes")*(1+'Building Info &amp; Assumptions'!$E$77)^P182</f>
        <v>0</v>
      </c>
      <c r="R205" s="272">
        <f>SUMIFS(Alternatives!$G$63:$G$82,Alternatives!$I$63:$I$82,R182,Alternatives!$H$63:$H$82,"Yes")*(1+'Building Info &amp; Assumptions'!$E$77)^Q182</f>
        <v>0</v>
      </c>
      <c r="S205" s="272">
        <f>SUMIFS(Alternatives!$G$63:$G$82,Alternatives!$I$63:$I$82,S182,Alternatives!$H$63:$H$82,"Yes")*(1+'Building Info &amp; Assumptions'!$E$77)^R182</f>
        <v>0</v>
      </c>
      <c r="T205" s="272">
        <f>SUMIFS(Alternatives!$G$63:$G$82,Alternatives!$I$63:$I$82,T182,Alternatives!$H$63:$H$82,"Yes")*(1+'Building Info &amp; Assumptions'!$E$77)^S182</f>
        <v>0</v>
      </c>
      <c r="U205" s="272">
        <f>SUMIFS(Alternatives!$G$63:$G$82,Alternatives!$I$63:$I$82,U182,Alternatives!$H$63:$H$82,"Yes")*(1+'Building Info &amp; Assumptions'!$E$77)^T182</f>
        <v>0</v>
      </c>
    </row>
    <row r="206" spans="1:21">
      <c r="A206" s="571" t="s">
        <v>575</v>
      </c>
      <c r="B206" s="272">
        <f>SUMIFS(Alternatives!$F$63:$F$82,Alternatives!$I$63:$I$82,B182,Alternatives!$H$63:$H$82,"Yes")</f>
        <v>500000</v>
      </c>
      <c r="C206" s="272">
        <f>SUMIFS(Alternatives!$F$63:$F$82,Alternatives!$I$63:$I$82,C182,Alternatives!$H$63:$H$82,"Yes")*(1+'Building Info &amp; Assumptions'!$E$77)^B182</f>
        <v>1552499.9999999998</v>
      </c>
      <c r="D206" s="272">
        <f>SUMIFS(Alternatives!$F$63:$F$82,Alternatives!$I$63:$I$82,D182,Alternatives!$H$63:$H$82,"Yes")*(1+'Building Info &amp; Assumptions'!$E$77)^C182</f>
        <v>0</v>
      </c>
      <c r="E206" s="272">
        <f>SUMIFS(Alternatives!$F$63:$F$82,Alternatives!$I$63:$I$82,E182,Alternatives!$H$63:$H$82,"Yes")*(1+'Building Info &amp; Assumptions'!$E$77)^D182</f>
        <v>0</v>
      </c>
      <c r="F206" s="272">
        <f>SUMIFS(Alternatives!$F$63:$F$82,Alternatives!$I$63:$I$82,F182,Alternatives!$H$63:$H$82,"Yes")*(1+'Building Info &amp; Assumptions'!$E$77)^E182</f>
        <v>0</v>
      </c>
      <c r="G206" s="272">
        <f>SUMIFS(Alternatives!$F$63:$F$82,Alternatives!$I$63:$I$82,G182,Alternatives!$H$63:$H$82,"Yes")*(1+'Building Info &amp; Assumptions'!$E$77)^F182</f>
        <v>0</v>
      </c>
      <c r="H206" s="272">
        <f>SUMIFS(Alternatives!$F$63:$F$82,Alternatives!$I$63:$I$82,H182,Alternatives!$H$63:$H$82,"Yes")*(1+'Building Info &amp; Assumptions'!$E$77)^G182</f>
        <v>0</v>
      </c>
      <c r="I206" s="272">
        <f>SUMIFS(Alternatives!$F$63:$F$82,Alternatives!$I$63:$I$82,I182,Alternatives!$H$63:$H$82,"Yes")*(1+'Building Info &amp; Assumptions'!$E$77)^H182</f>
        <v>0</v>
      </c>
      <c r="J206" s="272">
        <f>SUMIFS(Alternatives!$F$63:$F$82,Alternatives!$I$63:$I$82,J182,Alternatives!$H$63:$H$82,"Yes")*(1+'Building Info &amp; Assumptions'!$E$77)^I182</f>
        <v>0</v>
      </c>
      <c r="K206" s="272">
        <f>SUMIFS(Alternatives!$F$63:$F$82,Alternatives!$I$63:$I$82,K182,Alternatives!$H$63:$H$82,"Yes")*(1+'Building Info &amp; Assumptions'!$E$77)^J182</f>
        <v>0</v>
      </c>
      <c r="L206" s="272">
        <f>SUMIFS(Alternatives!$F$63:$F$82,Alternatives!$I$63:$I$82,L182,Alternatives!$H$63:$H$82,"Yes")*(1+'Building Info &amp; Assumptions'!$E$77)^K182</f>
        <v>0</v>
      </c>
      <c r="M206" s="272">
        <f>SUMIFS(Alternatives!$F$63:$F$82,Alternatives!$I$63:$I$82,M182,Alternatives!$H$63:$H$82,"Yes")*(1+'Building Info &amp; Assumptions'!$E$77)^L182</f>
        <v>0</v>
      </c>
      <c r="N206" s="272">
        <f>SUMIFS(Alternatives!$F$63:$F$82,Alternatives!$I$63:$I$82,N182,Alternatives!$H$63:$H$82,"Yes")*(1+'Building Info &amp; Assumptions'!$E$77)^M182</f>
        <v>0</v>
      </c>
      <c r="O206" s="272">
        <f>SUMIFS(Alternatives!$F$63:$F$82,Alternatives!$I$63:$I$82,O182,Alternatives!$H$63:$H$82,"Yes")*(1+'Building Info &amp; Assumptions'!$E$77)^N182</f>
        <v>0</v>
      </c>
      <c r="P206" s="272">
        <f>SUMIFS(Alternatives!$F$63:$F$82,Alternatives!$I$63:$I$82,P182,Alternatives!$H$63:$H$82,"Yes")*(1+'Building Info &amp; Assumptions'!$E$77)^O182</f>
        <v>0</v>
      </c>
      <c r="Q206" s="272">
        <f>SUMIFS(Alternatives!$F$63:$F$82,Alternatives!$I$63:$I$82,Q182,Alternatives!$H$63:$H$82,"Yes")*(1+'Building Info &amp; Assumptions'!$E$77)^P182</f>
        <v>0</v>
      </c>
      <c r="R206" s="272">
        <f>SUMIFS(Alternatives!$F$63:$F$82,Alternatives!$I$63:$I$82,R182,Alternatives!$H$63:$H$82,"Yes")*(1+'Building Info &amp; Assumptions'!$E$77)^Q182</f>
        <v>0</v>
      </c>
      <c r="S206" s="272">
        <f>SUMIFS(Alternatives!$F$63:$F$82,Alternatives!$I$63:$I$82,S182,Alternatives!$H$63:$H$82,"Yes")*(1+'Building Info &amp; Assumptions'!$E$77)^R182</f>
        <v>0</v>
      </c>
      <c r="T206" s="272">
        <f>SUMIFS(Alternatives!$F$63:$F$82,Alternatives!$I$63:$I$82,T182,Alternatives!$H$63:$H$82,"Yes")*(1+'Building Info &amp; Assumptions'!$E$77)^S182</f>
        <v>0</v>
      </c>
      <c r="U206" s="272">
        <f>SUMIFS(Alternatives!$F$63:$F$82,Alternatives!$I$63:$I$82,U182,Alternatives!$H$63:$H$82,"Yes")*(1+'Building Info &amp; Assumptions'!$E$77)^T182</f>
        <v>0</v>
      </c>
    </row>
    <row r="207" spans="1:21">
      <c r="A207" s="110"/>
      <c r="B207" s="204"/>
      <c r="C207" s="205"/>
      <c r="D207" s="205"/>
      <c r="E207" s="205"/>
      <c r="F207" s="205"/>
      <c r="G207" s="205"/>
      <c r="H207" s="205"/>
      <c r="I207" s="205"/>
      <c r="J207" s="205"/>
      <c r="K207" s="205"/>
      <c r="L207" s="205"/>
      <c r="M207" s="205"/>
      <c r="N207" s="205"/>
      <c r="O207" s="205"/>
      <c r="P207" s="205"/>
      <c r="Q207" s="205"/>
      <c r="R207" s="205"/>
      <c r="S207" s="205"/>
      <c r="T207" s="205"/>
      <c r="U207" s="205"/>
    </row>
    <row r="208" spans="1:21">
      <c r="A208" s="202" t="s">
        <v>309</v>
      </c>
      <c r="B208" s="206">
        <f>SUM(B190:B202)</f>
        <v>49773784.634502925</v>
      </c>
      <c r="C208" s="206">
        <f t="shared" ref="C208:K208" si="128">SUM(C190:C202)</f>
        <v>52441940.963157892</v>
      </c>
      <c r="D208" s="206">
        <f t="shared" si="128"/>
        <v>52227336.392789468</v>
      </c>
      <c r="E208" s="206">
        <f t="shared" si="128"/>
        <v>56943170.46678935</v>
      </c>
      <c r="F208" s="206">
        <f t="shared" si="128"/>
        <v>55212377.689445563</v>
      </c>
      <c r="G208" s="206">
        <f t="shared" si="128"/>
        <v>56894001.602818869</v>
      </c>
      <c r="H208" s="206">
        <f t="shared" si="128"/>
        <v>58650518.763803951</v>
      </c>
      <c r="I208" s="206">
        <f t="shared" si="128"/>
        <v>65514242.359524727</v>
      </c>
      <c r="J208" s="206">
        <f t="shared" si="128"/>
        <v>62276971.084106378</v>
      </c>
      <c r="K208" s="206">
        <f t="shared" si="128"/>
        <v>64226273.649138339</v>
      </c>
      <c r="L208" s="206">
        <f t="shared" ref="L208:U208" si="129">SUM(L190:L202)</f>
        <v>66265951.291227393</v>
      </c>
      <c r="M208" s="206">
        <f t="shared" si="129"/>
        <v>68326251.254752815</v>
      </c>
      <c r="N208" s="206">
        <f t="shared" si="129"/>
        <v>70440697.033344656</v>
      </c>
      <c r="O208" s="206">
        <f t="shared" si="129"/>
        <v>72626135.141884044</v>
      </c>
      <c r="P208" s="206">
        <f t="shared" si="129"/>
        <v>75050838.864482865</v>
      </c>
      <c r="Q208" s="206">
        <f t="shared" si="129"/>
        <v>77443478.239510328</v>
      </c>
      <c r="R208" s="206">
        <f t="shared" si="129"/>
        <v>79949430.949600071</v>
      </c>
      <c r="S208" s="206">
        <f t="shared" si="129"/>
        <v>82437731.673439741</v>
      </c>
      <c r="T208" s="206">
        <f t="shared" si="129"/>
        <v>85001081.712898791</v>
      </c>
      <c r="U208" s="206">
        <f t="shared" si="129"/>
        <v>87650700.210927233</v>
      </c>
    </row>
    <row r="209" spans="1:21" s="221" customFormat="1">
      <c r="A209" s="571" t="s">
        <v>576</v>
      </c>
      <c r="B209" s="206">
        <f>B204+B205+B206</f>
        <v>420000</v>
      </c>
      <c r="C209" s="206">
        <f t="shared" ref="C209:U209" si="130">C204+C205+C206</f>
        <v>1381724.9999999998</v>
      </c>
      <c r="D209" s="206">
        <f t="shared" si="130"/>
        <v>-176752.125</v>
      </c>
      <c r="E209" s="206">
        <f t="shared" si="130"/>
        <v>-182938.449375</v>
      </c>
      <c r="F209" s="206">
        <f t="shared" si="130"/>
        <v>-189341.29510312498</v>
      </c>
      <c r="G209" s="206">
        <f t="shared" si="130"/>
        <v>-195968.24043173433</v>
      </c>
      <c r="H209" s="206">
        <f t="shared" si="130"/>
        <v>-202827.12884684501</v>
      </c>
      <c r="I209" s="206">
        <f t="shared" si="130"/>
        <v>-209926.07835648456</v>
      </c>
      <c r="J209" s="206">
        <f t="shared" si="130"/>
        <v>-217273.4910989615</v>
      </c>
      <c r="K209" s="206">
        <f t="shared" si="130"/>
        <v>-224878.06328742515</v>
      </c>
      <c r="L209" s="206">
        <f t="shared" si="130"/>
        <v>-232748.79550248501</v>
      </c>
      <c r="M209" s="206">
        <f t="shared" si="130"/>
        <v>-240895.00334507198</v>
      </c>
      <c r="N209" s="206">
        <f t="shared" si="130"/>
        <v>-249326.32846214948</v>
      </c>
      <c r="O209" s="206">
        <f t="shared" si="130"/>
        <v>-258052.74995832468</v>
      </c>
      <c r="P209" s="206">
        <f t="shared" si="130"/>
        <v>-267084.59620686603</v>
      </c>
      <c r="Q209" s="206">
        <f t="shared" si="130"/>
        <v>-276432.5570741063</v>
      </c>
      <c r="R209" s="206">
        <f t="shared" si="130"/>
        <v>-286107.69657169998</v>
      </c>
      <c r="S209" s="206">
        <f t="shared" si="130"/>
        <v>-296121.46595170948</v>
      </c>
      <c r="T209" s="206">
        <f t="shared" si="130"/>
        <v>-306485.71726001927</v>
      </c>
      <c r="U209" s="206">
        <f t="shared" si="130"/>
        <v>-317212.71736411995</v>
      </c>
    </row>
    <row r="210" spans="1:21">
      <c r="A210" s="110"/>
      <c r="B210" s="207"/>
      <c r="C210" s="207"/>
      <c r="D210" s="207"/>
      <c r="E210" s="207"/>
      <c r="F210" s="207"/>
      <c r="G210" s="207"/>
      <c r="H210" s="207"/>
      <c r="I210" s="207"/>
      <c r="J210" s="207"/>
      <c r="K210" s="207"/>
      <c r="L210" s="207"/>
      <c r="M210" s="207"/>
      <c r="N210" s="207"/>
      <c r="O210" s="207"/>
      <c r="P210" s="207"/>
      <c r="Q210" s="207"/>
      <c r="R210" s="207"/>
      <c r="S210" s="207"/>
      <c r="T210" s="207"/>
      <c r="U210" s="207"/>
    </row>
    <row r="211" spans="1:21">
      <c r="A211" s="110" t="s">
        <v>577</v>
      </c>
      <c r="C211" s="208">
        <f>C208-B208</f>
        <v>2668156.3286549672</v>
      </c>
      <c r="D211" s="208">
        <f t="shared" ref="D211:K211" si="131">D208-C208</f>
        <v>-214604.57036842406</v>
      </c>
      <c r="E211" s="208">
        <f t="shared" si="131"/>
        <v>4715834.0739998817</v>
      </c>
      <c r="F211" s="208">
        <f t="shared" si="131"/>
        <v>-1730792.7773437873</v>
      </c>
      <c r="G211" s="208">
        <f t="shared" si="131"/>
        <v>1681623.9133733064</v>
      </c>
      <c r="H211" s="208">
        <f t="shared" si="131"/>
        <v>1756517.1609850824</v>
      </c>
      <c r="I211" s="208">
        <f t="shared" si="131"/>
        <v>6863723.5957207754</v>
      </c>
      <c r="J211" s="208">
        <f t="shared" si="131"/>
        <v>-3237271.2754183486</v>
      </c>
      <c r="K211" s="208">
        <f t="shared" si="131"/>
        <v>1949302.5650319606</v>
      </c>
      <c r="L211" s="208">
        <f t="shared" ref="L211:U211" si="132">L208-K208</f>
        <v>2039677.642089054</v>
      </c>
      <c r="M211" s="208">
        <f t="shared" si="132"/>
        <v>2060299.9635254219</v>
      </c>
      <c r="N211" s="208">
        <f t="shared" si="132"/>
        <v>2114445.7785918415</v>
      </c>
      <c r="O211" s="208">
        <f t="shared" si="132"/>
        <v>2185438.1085393876</v>
      </c>
      <c r="P211" s="208">
        <f t="shared" si="132"/>
        <v>2424703.7225988209</v>
      </c>
      <c r="Q211" s="208">
        <f t="shared" si="132"/>
        <v>2392639.3750274628</v>
      </c>
      <c r="R211" s="208">
        <f t="shared" si="132"/>
        <v>2505952.7100897431</v>
      </c>
      <c r="S211" s="208">
        <f t="shared" si="132"/>
        <v>2488300.7238396704</v>
      </c>
      <c r="T211" s="208">
        <f t="shared" si="132"/>
        <v>2563350.0394590497</v>
      </c>
      <c r="U211" s="208">
        <f t="shared" si="132"/>
        <v>2649618.4980284423</v>
      </c>
    </row>
    <row r="212" spans="1:21">
      <c r="A212" s="110"/>
      <c r="C212" s="209">
        <f t="shared" ref="C212:K212" si="133">C211/B208</f>
        <v>5.3605655030005805E-2</v>
      </c>
      <c r="D212" s="209">
        <f t="shared" si="133"/>
        <v>-4.0922316456439038E-3</v>
      </c>
      <c r="E212" s="209">
        <f t="shared" si="133"/>
        <v>9.0294363061772992E-2</v>
      </c>
      <c r="F212" s="209">
        <f t="shared" si="133"/>
        <v>-3.039508975625493E-2</v>
      </c>
      <c r="G212" s="209">
        <f t="shared" si="133"/>
        <v>3.0457371766019176E-2</v>
      </c>
      <c r="H212" s="209">
        <f t="shared" si="133"/>
        <v>3.0873503559258417E-2</v>
      </c>
      <c r="I212" s="209">
        <f t="shared" si="133"/>
        <v>0.11702750018908116</v>
      </c>
      <c r="J212" s="209">
        <f t="shared" si="133"/>
        <v>-4.9413244491984892E-2</v>
      </c>
      <c r="K212" s="209">
        <f t="shared" si="133"/>
        <v>3.1300535833693417E-2</v>
      </c>
      <c r="L212" s="209">
        <f t="shared" ref="L212:U212" si="134">L211/K208</f>
        <v>3.175768305088985E-2</v>
      </c>
      <c r="M212" s="209">
        <f t="shared" si="134"/>
        <v>3.1091381371268028E-2</v>
      </c>
      <c r="N212" s="209">
        <f t="shared" si="134"/>
        <v>3.0946316236612783E-2</v>
      </c>
      <c r="O212" s="209">
        <f t="shared" si="134"/>
        <v>3.102521980304741E-2</v>
      </c>
      <c r="P212" s="209">
        <f t="shared" si="134"/>
        <v>3.3386104297879346E-2</v>
      </c>
      <c r="Q212" s="209">
        <f t="shared" si="134"/>
        <v>3.1880248258754081E-2</v>
      </c>
      <c r="R212" s="209">
        <f t="shared" si="134"/>
        <v>3.2358473134943069E-2</v>
      </c>
      <c r="S212" s="209">
        <f t="shared" si="134"/>
        <v>3.1123432578379316E-2</v>
      </c>
      <c r="T212" s="209">
        <f t="shared" si="134"/>
        <v>3.1094378598543176E-2</v>
      </c>
      <c r="U212" s="209">
        <f t="shared" si="134"/>
        <v>3.1171585639084478E-2</v>
      </c>
    </row>
    <row r="213" spans="1:21">
      <c r="A213" s="110" t="s">
        <v>311</v>
      </c>
      <c r="C213" s="208">
        <f>C208-$B$165</f>
        <v>2496223.6970760226</v>
      </c>
      <c r="D213" s="208">
        <f t="shared" ref="D213:K213" si="135">D208-$B$165</f>
        <v>2281619.1267075986</v>
      </c>
      <c r="E213" s="208">
        <f t="shared" si="135"/>
        <v>6997453.2007074803</v>
      </c>
      <c r="F213" s="208">
        <f t="shared" si="135"/>
        <v>5266660.4233636931</v>
      </c>
      <c r="G213" s="208">
        <f t="shared" si="135"/>
        <v>6948284.3367369995</v>
      </c>
      <c r="H213" s="208">
        <f t="shared" si="135"/>
        <v>8704801.4977220818</v>
      </c>
      <c r="I213" s="208">
        <f t="shared" si="135"/>
        <v>15568525.093442857</v>
      </c>
      <c r="J213" s="208">
        <f t="shared" si="135"/>
        <v>12331253.818024509</v>
      </c>
      <c r="K213" s="208">
        <f t="shared" si="135"/>
        <v>14280556.383056469</v>
      </c>
      <c r="L213" s="208">
        <f t="shared" ref="L213:U213" si="136">L208-$B$165</f>
        <v>16320234.025145523</v>
      </c>
      <c r="M213" s="208">
        <f t="shared" si="136"/>
        <v>18380533.988670945</v>
      </c>
      <c r="N213" s="208">
        <f t="shared" si="136"/>
        <v>20494979.767262787</v>
      </c>
      <c r="O213" s="208">
        <f t="shared" si="136"/>
        <v>22680417.875802174</v>
      </c>
      <c r="P213" s="208">
        <f t="shared" si="136"/>
        <v>25105121.598400995</v>
      </c>
      <c r="Q213" s="208">
        <f t="shared" si="136"/>
        <v>27497760.973428458</v>
      </c>
      <c r="R213" s="208">
        <f t="shared" si="136"/>
        <v>30003713.683518201</v>
      </c>
      <c r="S213" s="208">
        <f t="shared" si="136"/>
        <v>32492014.407357872</v>
      </c>
      <c r="T213" s="208">
        <f t="shared" si="136"/>
        <v>35055364.446816921</v>
      </c>
      <c r="U213" s="208">
        <f t="shared" si="136"/>
        <v>37704982.944845363</v>
      </c>
    </row>
    <row r="214" spans="1:21">
      <c r="A214" s="110"/>
      <c r="B214" s="207"/>
      <c r="C214" s="207"/>
      <c r="D214" s="207"/>
      <c r="E214" s="207"/>
      <c r="F214" s="207"/>
      <c r="G214" s="207"/>
      <c r="H214" s="207"/>
      <c r="I214" s="207"/>
      <c r="J214" s="207"/>
      <c r="K214" s="207"/>
      <c r="L214" s="207"/>
      <c r="M214" s="207"/>
      <c r="N214" s="207"/>
      <c r="O214" s="207"/>
      <c r="P214" s="207"/>
      <c r="Q214" s="207"/>
      <c r="R214" s="207"/>
      <c r="S214" s="207"/>
      <c r="T214" s="207"/>
      <c r="U214" s="207"/>
    </row>
    <row r="215" spans="1:21" ht="15.95" thickBot="1">
      <c r="A215" s="202" t="s">
        <v>312</v>
      </c>
      <c r="B215" s="210">
        <f t="shared" ref="B215:K215" si="137">B187-B208</f>
        <v>68220476.476608187</v>
      </c>
      <c r="C215" s="210">
        <f t="shared" si="137"/>
        <v>69682059.036842108</v>
      </c>
      <c r="D215" s="210">
        <f t="shared" si="137"/>
        <v>74170963.607210532</v>
      </c>
      <c r="E215" s="210">
        <f t="shared" si="137"/>
        <v>73879129.53321065</v>
      </c>
      <c r="F215" s="210">
        <f t="shared" si="137"/>
        <v>80188722.310554445</v>
      </c>
      <c r="G215" s="210">
        <f t="shared" si="137"/>
        <v>83246098.397181123</v>
      </c>
      <c r="H215" s="210">
        <f t="shared" si="137"/>
        <v>86394581.236196041</v>
      </c>
      <c r="I215" s="210">
        <f t="shared" si="137"/>
        <v>84607357.640475273</v>
      </c>
      <c r="J215" s="210">
        <f t="shared" si="137"/>
        <v>93098928.915893614</v>
      </c>
      <c r="K215" s="210">
        <f t="shared" si="137"/>
        <v>96587726.350861669</v>
      </c>
      <c r="L215" s="210">
        <f t="shared" ref="L215:U215" si="138">L187-L208</f>
        <v>100176548.7087726</v>
      </c>
      <c r="M215" s="210">
        <f t="shared" si="138"/>
        <v>103941748.74524719</v>
      </c>
      <c r="N215" s="210">
        <f t="shared" si="138"/>
        <v>107856602.96665534</v>
      </c>
      <c r="O215" s="210">
        <f t="shared" si="138"/>
        <v>111911564.85811596</v>
      </c>
      <c r="P215" s="210">
        <f t="shared" si="138"/>
        <v>115945661.13551714</v>
      </c>
      <c r="Q215" s="210">
        <f t="shared" si="138"/>
        <v>120237921.76048967</v>
      </c>
      <c r="R215" s="210">
        <f t="shared" si="138"/>
        <v>124650769.05039993</v>
      </c>
      <c r="S215" s="210">
        <f t="shared" si="138"/>
        <v>129323468.32656026</v>
      </c>
      <c r="T215" s="210">
        <f t="shared" si="138"/>
        <v>134171818.28710121</v>
      </c>
      <c r="U215" s="210">
        <f t="shared" si="138"/>
        <v>139193299.78907275</v>
      </c>
    </row>
    <row r="216" spans="1:21" s="221" customFormat="1" ht="17.100000000000001" thickTop="1" thickBot="1">
      <c r="A216" s="571" t="s">
        <v>578</v>
      </c>
      <c r="B216" s="718">
        <f>-B209</f>
        <v>-420000</v>
      </c>
      <c r="C216" s="718">
        <f t="shared" ref="C216:U216" si="139">-C209</f>
        <v>-1381724.9999999998</v>
      </c>
      <c r="D216" s="718">
        <f t="shared" si="139"/>
        <v>176752.125</v>
      </c>
      <c r="E216" s="718">
        <f t="shared" si="139"/>
        <v>182938.449375</v>
      </c>
      <c r="F216" s="718">
        <f t="shared" si="139"/>
        <v>189341.29510312498</v>
      </c>
      <c r="G216" s="718">
        <f t="shared" si="139"/>
        <v>195968.24043173433</v>
      </c>
      <c r="H216" s="718">
        <f t="shared" si="139"/>
        <v>202827.12884684501</v>
      </c>
      <c r="I216" s="718">
        <f t="shared" si="139"/>
        <v>209926.07835648456</v>
      </c>
      <c r="J216" s="718">
        <f t="shared" si="139"/>
        <v>217273.4910989615</v>
      </c>
      <c r="K216" s="718">
        <f t="shared" si="139"/>
        <v>224878.06328742515</v>
      </c>
      <c r="L216" s="718">
        <f t="shared" si="139"/>
        <v>232748.79550248501</v>
      </c>
      <c r="M216" s="718">
        <f t="shared" si="139"/>
        <v>240895.00334507198</v>
      </c>
      <c r="N216" s="718">
        <f t="shared" si="139"/>
        <v>249326.32846214948</v>
      </c>
      <c r="O216" s="718">
        <f t="shared" si="139"/>
        <v>258052.74995832468</v>
      </c>
      <c r="P216" s="718">
        <f t="shared" si="139"/>
        <v>267084.59620686603</v>
      </c>
      <c r="Q216" s="718">
        <f t="shared" si="139"/>
        <v>276432.5570741063</v>
      </c>
      <c r="R216" s="718">
        <f t="shared" si="139"/>
        <v>286107.69657169998</v>
      </c>
      <c r="S216" s="718">
        <f t="shared" si="139"/>
        <v>296121.46595170948</v>
      </c>
      <c r="T216" s="718">
        <f t="shared" si="139"/>
        <v>306485.71726001927</v>
      </c>
      <c r="U216" s="718">
        <f t="shared" si="139"/>
        <v>317212.71736411995</v>
      </c>
    </row>
    <row r="217" spans="1:21" ht="15.95" thickTop="1">
      <c r="A217" s="110"/>
      <c r="B217" s="211"/>
      <c r="C217" s="211"/>
      <c r="D217" s="211"/>
      <c r="E217" s="211"/>
      <c r="F217" s="211"/>
      <c r="G217" s="211"/>
      <c r="H217" s="110"/>
      <c r="I217" s="110"/>
      <c r="J217" s="110"/>
      <c r="K217" s="110"/>
    </row>
    <row r="218" spans="1:21">
      <c r="A218" s="110" t="s">
        <v>310</v>
      </c>
      <c r="C218" s="208">
        <f>C215-B215</f>
        <v>1461582.5602339208</v>
      </c>
      <c r="D218" s="208">
        <f t="shared" ref="D218:K218" si="140">D215-C215</f>
        <v>4488904.5703684241</v>
      </c>
      <c r="E218" s="208">
        <f t="shared" si="140"/>
        <v>-291834.07399988174</v>
      </c>
      <c r="F218" s="208">
        <f t="shared" si="140"/>
        <v>6309592.7773437947</v>
      </c>
      <c r="G218" s="208">
        <f t="shared" si="140"/>
        <v>3057376.0866266787</v>
      </c>
      <c r="H218" s="208">
        <f t="shared" si="140"/>
        <v>3148482.8390149176</v>
      </c>
      <c r="I218" s="208">
        <f t="shared" si="140"/>
        <v>-1787223.595720768</v>
      </c>
      <c r="J218" s="208">
        <f t="shared" si="140"/>
        <v>8491571.2754183412</v>
      </c>
      <c r="K218" s="208">
        <f t="shared" si="140"/>
        <v>3488797.4349680543</v>
      </c>
      <c r="L218" s="208">
        <f t="shared" ref="L218:U218" si="141">L215-K215</f>
        <v>3588822.3579109311</v>
      </c>
      <c r="M218" s="208">
        <f t="shared" si="141"/>
        <v>3765200.0364745855</v>
      </c>
      <c r="N218" s="208">
        <f t="shared" si="141"/>
        <v>3914854.2214081585</v>
      </c>
      <c r="O218" s="208">
        <f t="shared" si="141"/>
        <v>4054961.8914606124</v>
      </c>
      <c r="P218" s="208">
        <f t="shared" si="141"/>
        <v>4034096.2774011791</v>
      </c>
      <c r="Q218" s="208">
        <f t="shared" si="141"/>
        <v>4292260.6249725372</v>
      </c>
      <c r="R218" s="208">
        <f t="shared" si="141"/>
        <v>4412847.2899102569</v>
      </c>
      <c r="S218" s="208">
        <f t="shared" si="141"/>
        <v>4672699.2761603296</v>
      </c>
      <c r="T218" s="208">
        <f t="shared" si="141"/>
        <v>4848349.9605409503</v>
      </c>
      <c r="U218" s="208">
        <f t="shared" si="141"/>
        <v>5021481.5019715428</v>
      </c>
    </row>
    <row r="219" spans="1:21">
      <c r="A219" s="110"/>
      <c r="C219" s="209">
        <f t="shared" ref="C219:K219" si="142">C218/B215</f>
        <v>2.1424396833919449E-2</v>
      </c>
      <c r="D219" s="209">
        <f t="shared" si="142"/>
        <v>6.4419803783281757E-2</v>
      </c>
      <c r="E219" s="209">
        <f t="shared" si="142"/>
        <v>-3.9346134903323693E-3</v>
      </c>
      <c r="F219" s="209">
        <f t="shared" si="142"/>
        <v>8.5404265280460079E-2</v>
      </c>
      <c r="G219" s="209">
        <f t="shared" si="142"/>
        <v>3.812725778054038E-2</v>
      </c>
      <c r="H219" s="209">
        <f t="shared" si="142"/>
        <v>3.7821386222726947E-2</v>
      </c>
      <c r="I219" s="209">
        <f t="shared" si="142"/>
        <v>-2.0686755698654736E-2</v>
      </c>
      <c r="J219" s="209">
        <f t="shared" si="142"/>
        <v>0.10036445425351592</v>
      </c>
      <c r="K219" s="209">
        <f t="shared" si="142"/>
        <v>3.7474087785906371E-2</v>
      </c>
      <c r="L219" s="209">
        <f t="shared" ref="L219:U219" si="143">L218/K215</f>
        <v>3.7156091084226198E-2</v>
      </c>
      <c r="M219" s="209">
        <f t="shared" si="143"/>
        <v>3.7585643396645205E-2</v>
      </c>
      <c r="N219" s="209">
        <f t="shared" si="143"/>
        <v>3.7663924925903924E-2</v>
      </c>
      <c r="O219" s="209">
        <f t="shared" si="143"/>
        <v>3.7595861355973113E-2</v>
      </c>
      <c r="P219" s="209">
        <f t="shared" si="143"/>
        <v>3.6047179596815561E-2</v>
      </c>
      <c r="Q219" s="209">
        <f t="shared" si="143"/>
        <v>3.7019588166871967E-2</v>
      </c>
      <c r="R219" s="209">
        <f t="shared" si="143"/>
        <v>3.6700961105270234E-2</v>
      </c>
      <c r="S219" s="209">
        <f t="shared" si="143"/>
        <v>3.7486325289104484E-2</v>
      </c>
      <c r="T219" s="209">
        <f t="shared" si="143"/>
        <v>3.749010155139184E-2</v>
      </c>
      <c r="U219" s="209">
        <f t="shared" si="143"/>
        <v>3.742575427595804E-2</v>
      </c>
    </row>
    <row r="220" spans="1:21">
      <c r="A220" s="110" t="s">
        <v>311</v>
      </c>
      <c r="C220" s="208">
        <f>C215-$B$172</f>
        <v>1633515.191812858</v>
      </c>
      <c r="D220" s="208">
        <f t="shared" ref="D220:K220" si="144">D215-$B$172</f>
        <v>6122419.762181282</v>
      </c>
      <c r="E220" s="208">
        <f t="shared" si="144"/>
        <v>5830585.6881814003</v>
      </c>
      <c r="F220" s="208">
        <f t="shared" si="144"/>
        <v>12140178.465525195</v>
      </c>
      <c r="G220" s="208">
        <f t="shared" si="144"/>
        <v>15197554.552151874</v>
      </c>
      <c r="H220" s="208">
        <f t="shared" si="144"/>
        <v>18346037.391166791</v>
      </c>
      <c r="I220" s="208">
        <f t="shared" si="144"/>
        <v>16558813.795446023</v>
      </c>
      <c r="J220" s="208">
        <f t="shared" si="144"/>
        <v>25050385.070864365</v>
      </c>
      <c r="K220" s="208">
        <f t="shared" si="144"/>
        <v>28539182.505832419</v>
      </c>
      <c r="L220" s="208">
        <f t="shared" ref="L220:U220" si="145">L215-$B$172</f>
        <v>32128004.86374335</v>
      </c>
      <c r="M220" s="208">
        <f t="shared" si="145"/>
        <v>35893204.900217935</v>
      </c>
      <c r="N220" s="208">
        <f t="shared" si="145"/>
        <v>39808059.121626094</v>
      </c>
      <c r="O220" s="208">
        <f t="shared" si="145"/>
        <v>43863021.013086706</v>
      </c>
      <c r="P220" s="208">
        <f t="shared" si="145"/>
        <v>47897117.290487885</v>
      </c>
      <c r="Q220" s="208">
        <f t="shared" si="145"/>
        <v>52189377.915460423</v>
      </c>
      <c r="R220" s="208">
        <f t="shared" si="145"/>
        <v>56602225.205370679</v>
      </c>
      <c r="S220" s="208">
        <f t="shared" si="145"/>
        <v>61274924.481531009</v>
      </c>
      <c r="T220" s="208">
        <f t="shared" si="145"/>
        <v>66123274.442071959</v>
      </c>
      <c r="U220" s="208">
        <f t="shared" si="145"/>
        <v>71144755.944043502</v>
      </c>
    </row>
    <row r="221" spans="1:21">
      <c r="A221" s="110"/>
      <c r="C221" s="209"/>
      <c r="D221" s="209"/>
      <c r="E221" s="209"/>
      <c r="F221" s="209"/>
      <c r="G221" s="209"/>
      <c r="H221" s="209"/>
      <c r="I221" s="209"/>
      <c r="J221" s="209"/>
      <c r="K221" s="209"/>
      <c r="L221" s="209"/>
      <c r="M221" s="209"/>
      <c r="N221" s="209"/>
      <c r="O221" s="209"/>
      <c r="P221" s="209"/>
      <c r="Q221" s="209"/>
      <c r="R221" s="209"/>
      <c r="S221" s="209"/>
      <c r="T221" s="209"/>
      <c r="U221" s="209"/>
    </row>
    <row r="222" spans="1:21" s="304" customFormat="1">
      <c r="A222" s="303" t="s">
        <v>586</v>
      </c>
      <c r="H222" s="303"/>
      <c r="L222" s="432"/>
      <c r="M222" s="432"/>
      <c r="N222" s="432"/>
      <c r="O222" s="432"/>
      <c r="P222" s="432"/>
      <c r="Q222" s="432"/>
      <c r="R222" s="432"/>
      <c r="S222" s="432"/>
      <c r="T222" s="432"/>
      <c r="U222" s="432"/>
    </row>
    <row r="223" spans="1:21">
      <c r="A223" s="202"/>
    </row>
    <row r="224" spans="1:21">
      <c r="A224" s="202" t="s">
        <v>587</v>
      </c>
      <c r="B224" s="198">
        <f t="shared" ref="B224:U224" si="146">B11</f>
        <v>1</v>
      </c>
      <c r="C224" s="198">
        <f t="shared" si="146"/>
        <v>2</v>
      </c>
      <c r="D224" s="198">
        <f t="shared" si="146"/>
        <v>3</v>
      </c>
      <c r="E224" s="198">
        <f t="shared" si="146"/>
        <v>4</v>
      </c>
      <c r="F224" s="198">
        <f t="shared" si="146"/>
        <v>5</v>
      </c>
      <c r="G224" s="198">
        <f t="shared" si="146"/>
        <v>6</v>
      </c>
      <c r="H224" s="198">
        <f t="shared" si="146"/>
        <v>7</v>
      </c>
      <c r="I224" s="198">
        <f t="shared" si="146"/>
        <v>8</v>
      </c>
      <c r="J224" s="198">
        <f t="shared" si="146"/>
        <v>9</v>
      </c>
      <c r="K224" s="198">
        <f t="shared" si="146"/>
        <v>10</v>
      </c>
      <c r="L224" s="198">
        <f t="shared" si="146"/>
        <v>11</v>
      </c>
      <c r="M224" s="198">
        <f t="shared" si="146"/>
        <v>12</v>
      </c>
      <c r="N224" s="198">
        <f t="shared" si="146"/>
        <v>13</v>
      </c>
      <c r="O224" s="198">
        <f t="shared" si="146"/>
        <v>14</v>
      </c>
      <c r="P224" s="198">
        <f t="shared" si="146"/>
        <v>15</v>
      </c>
      <c r="Q224" s="198">
        <f t="shared" si="146"/>
        <v>16</v>
      </c>
      <c r="R224" s="198">
        <f t="shared" si="146"/>
        <v>17</v>
      </c>
      <c r="S224" s="198">
        <f t="shared" si="146"/>
        <v>18</v>
      </c>
      <c r="T224" s="198">
        <f t="shared" si="146"/>
        <v>19</v>
      </c>
      <c r="U224" s="198">
        <f t="shared" si="146"/>
        <v>20</v>
      </c>
    </row>
    <row r="225" spans="1:21">
      <c r="A225" s="199" t="s">
        <v>303</v>
      </c>
      <c r="B225" s="196">
        <f t="shared" ref="B225:U225" si="147">B12</f>
        <v>122910661.11111112</v>
      </c>
      <c r="C225" s="196">
        <f t="shared" si="147"/>
        <v>127212500</v>
      </c>
      <c r="D225" s="196">
        <f t="shared" si="147"/>
        <v>131664900</v>
      </c>
      <c r="E225" s="196">
        <f t="shared" si="147"/>
        <v>136273200</v>
      </c>
      <c r="F225" s="196">
        <f t="shared" si="147"/>
        <v>141042800</v>
      </c>
      <c r="G225" s="196">
        <f t="shared" si="147"/>
        <v>145979300</v>
      </c>
      <c r="H225" s="196">
        <f t="shared" si="147"/>
        <v>151088600</v>
      </c>
      <c r="I225" s="196">
        <f t="shared" si="147"/>
        <v>156376700</v>
      </c>
      <c r="J225" s="196">
        <f t="shared" si="147"/>
        <v>161849900</v>
      </c>
      <c r="K225" s="196">
        <f t="shared" si="147"/>
        <v>167514600</v>
      </c>
      <c r="L225" s="196">
        <f t="shared" si="147"/>
        <v>173377600</v>
      </c>
      <c r="M225" s="196">
        <f t="shared" si="147"/>
        <v>179445800</v>
      </c>
      <c r="N225" s="196">
        <f t="shared" si="147"/>
        <v>185726400</v>
      </c>
      <c r="O225" s="196">
        <f t="shared" si="147"/>
        <v>192226800</v>
      </c>
      <c r="P225" s="196">
        <f t="shared" si="147"/>
        <v>198954700</v>
      </c>
      <c r="Q225" s="196">
        <f t="shared" si="147"/>
        <v>205918100</v>
      </c>
      <c r="R225" s="196">
        <f t="shared" si="147"/>
        <v>213125200</v>
      </c>
      <c r="S225" s="196">
        <f t="shared" si="147"/>
        <v>220584600</v>
      </c>
      <c r="T225" s="196">
        <f t="shared" si="147"/>
        <v>228305100</v>
      </c>
      <c r="U225" s="196">
        <f t="shared" si="147"/>
        <v>236295800</v>
      </c>
    </row>
    <row r="226" spans="1:21">
      <c r="A226" s="110" t="s">
        <v>304</v>
      </c>
      <c r="B226" s="196">
        <f t="shared" ref="B226:U226" si="148">B13</f>
        <v>4916400</v>
      </c>
      <c r="C226" s="196">
        <f t="shared" si="148"/>
        <v>5088500</v>
      </c>
      <c r="D226" s="196">
        <f t="shared" si="148"/>
        <v>5266600</v>
      </c>
      <c r="E226" s="196">
        <f t="shared" si="148"/>
        <v>5450900</v>
      </c>
      <c r="F226" s="196">
        <f t="shared" si="148"/>
        <v>5641700</v>
      </c>
      <c r="G226" s="196">
        <f t="shared" si="148"/>
        <v>5839200</v>
      </c>
      <c r="H226" s="196">
        <f t="shared" si="148"/>
        <v>6043500</v>
      </c>
      <c r="I226" s="196">
        <f t="shared" si="148"/>
        <v>6255100</v>
      </c>
      <c r="J226" s="196">
        <f t="shared" si="148"/>
        <v>6474000</v>
      </c>
      <c r="K226" s="196">
        <f t="shared" si="148"/>
        <v>6700600</v>
      </c>
      <c r="L226" s="196">
        <f t="shared" si="148"/>
        <v>6935100</v>
      </c>
      <c r="M226" s="196">
        <f t="shared" si="148"/>
        <v>7177800</v>
      </c>
      <c r="N226" s="196">
        <f t="shared" si="148"/>
        <v>7429100</v>
      </c>
      <c r="O226" s="196">
        <f t="shared" si="148"/>
        <v>7689100</v>
      </c>
      <c r="P226" s="196">
        <f t="shared" si="148"/>
        <v>7958200</v>
      </c>
      <c r="Q226" s="196">
        <f t="shared" si="148"/>
        <v>8236700.0000000009</v>
      </c>
      <c r="R226" s="196">
        <f t="shared" si="148"/>
        <v>8525000</v>
      </c>
      <c r="S226" s="196">
        <f t="shared" si="148"/>
        <v>8823400</v>
      </c>
      <c r="T226" s="196">
        <f t="shared" si="148"/>
        <v>9132200</v>
      </c>
      <c r="U226" s="196">
        <f t="shared" si="148"/>
        <v>9451800</v>
      </c>
    </row>
    <row r="227" spans="1:21">
      <c r="A227" s="199"/>
      <c r="B227" s="1168">
        <f>B225-B226</f>
        <v>117994261.11111112</v>
      </c>
      <c r="C227" s="1168">
        <f t="shared" ref="C227:K227" si="149">C225-C226</f>
        <v>122124000</v>
      </c>
      <c r="D227" s="1168">
        <f t="shared" si="149"/>
        <v>126398300</v>
      </c>
      <c r="E227" s="1168">
        <f t="shared" si="149"/>
        <v>130822300</v>
      </c>
      <c r="F227" s="1168">
        <f t="shared" si="149"/>
        <v>135401100</v>
      </c>
      <c r="G227" s="1168">
        <f t="shared" si="149"/>
        <v>140140100</v>
      </c>
      <c r="H227" s="1168">
        <f t="shared" si="149"/>
        <v>145045100</v>
      </c>
      <c r="I227" s="1168">
        <f t="shared" si="149"/>
        <v>150121600</v>
      </c>
      <c r="J227" s="1168">
        <f t="shared" si="149"/>
        <v>155375900</v>
      </c>
      <c r="K227" s="1168">
        <f t="shared" si="149"/>
        <v>160814000</v>
      </c>
      <c r="L227" s="1168">
        <f t="shared" ref="L227:U227" si="150">L225-L226</f>
        <v>166442500</v>
      </c>
      <c r="M227" s="1168">
        <f t="shared" si="150"/>
        <v>172268000</v>
      </c>
      <c r="N227" s="1168">
        <f t="shared" si="150"/>
        <v>178297300</v>
      </c>
      <c r="O227" s="1168">
        <f t="shared" si="150"/>
        <v>184537700</v>
      </c>
      <c r="P227" s="1168">
        <f t="shared" si="150"/>
        <v>190996500</v>
      </c>
      <c r="Q227" s="1168">
        <f t="shared" si="150"/>
        <v>197681400</v>
      </c>
      <c r="R227" s="1168">
        <f t="shared" si="150"/>
        <v>204600200</v>
      </c>
      <c r="S227" s="1168">
        <f t="shared" si="150"/>
        <v>211761200</v>
      </c>
      <c r="T227" s="1168">
        <f t="shared" si="150"/>
        <v>219172900</v>
      </c>
      <c r="U227" s="1168">
        <f t="shared" si="150"/>
        <v>226844000</v>
      </c>
    </row>
    <row r="228" spans="1:21">
      <c r="A228" s="199" t="s">
        <v>305</v>
      </c>
      <c r="B228" s="275">
        <f t="shared" ref="B228:U228" si="151">B15</f>
        <v>0</v>
      </c>
      <c r="C228" s="275">
        <f t="shared" si="151"/>
        <v>0</v>
      </c>
      <c r="D228" s="275">
        <f t="shared" si="151"/>
        <v>0</v>
      </c>
      <c r="E228" s="275">
        <f t="shared" si="151"/>
        <v>0</v>
      </c>
      <c r="F228" s="275">
        <f t="shared" si="151"/>
        <v>0</v>
      </c>
      <c r="G228" s="275">
        <f t="shared" si="151"/>
        <v>0</v>
      </c>
      <c r="H228" s="275">
        <f t="shared" si="151"/>
        <v>0</v>
      </c>
      <c r="I228" s="275">
        <f t="shared" si="151"/>
        <v>0</v>
      </c>
      <c r="J228" s="275">
        <f t="shared" si="151"/>
        <v>0</v>
      </c>
      <c r="K228" s="275">
        <f t="shared" si="151"/>
        <v>0</v>
      </c>
      <c r="L228" s="275">
        <f t="shared" si="151"/>
        <v>0</v>
      </c>
      <c r="M228" s="275">
        <f t="shared" si="151"/>
        <v>0</v>
      </c>
      <c r="N228" s="275">
        <f t="shared" si="151"/>
        <v>0</v>
      </c>
      <c r="O228" s="275">
        <f t="shared" si="151"/>
        <v>0</v>
      </c>
      <c r="P228" s="275">
        <f t="shared" si="151"/>
        <v>0</v>
      </c>
      <c r="Q228" s="275">
        <f t="shared" si="151"/>
        <v>0</v>
      </c>
      <c r="R228" s="275">
        <f t="shared" si="151"/>
        <v>0</v>
      </c>
      <c r="S228" s="275">
        <f t="shared" si="151"/>
        <v>0</v>
      </c>
      <c r="T228" s="275">
        <f t="shared" si="151"/>
        <v>0</v>
      </c>
      <c r="U228" s="275">
        <f t="shared" si="151"/>
        <v>0</v>
      </c>
    </row>
    <row r="229" spans="1:21">
      <c r="A229" s="199" t="s">
        <v>306</v>
      </c>
      <c r="B229" s="1169">
        <f>B227+B228</f>
        <v>117994261.11111112</v>
      </c>
      <c r="C229" s="1169">
        <f>C227+C228</f>
        <v>122124000</v>
      </c>
      <c r="D229" s="1169">
        <f t="shared" ref="D229:K229" si="152">D227+D228</f>
        <v>126398300</v>
      </c>
      <c r="E229" s="1169">
        <f t="shared" si="152"/>
        <v>130822300</v>
      </c>
      <c r="F229" s="1169">
        <f t="shared" si="152"/>
        <v>135401100</v>
      </c>
      <c r="G229" s="1169">
        <f t="shared" si="152"/>
        <v>140140100</v>
      </c>
      <c r="H229" s="1169">
        <f t="shared" si="152"/>
        <v>145045100</v>
      </c>
      <c r="I229" s="1169">
        <f t="shared" si="152"/>
        <v>150121600</v>
      </c>
      <c r="J229" s="1169">
        <f t="shared" si="152"/>
        <v>155375900</v>
      </c>
      <c r="K229" s="1169">
        <f t="shared" si="152"/>
        <v>160814000</v>
      </c>
      <c r="L229" s="1169">
        <f t="shared" ref="L229:U229" si="153">L227+L228</f>
        <v>166442500</v>
      </c>
      <c r="M229" s="1169">
        <f t="shared" si="153"/>
        <v>172268000</v>
      </c>
      <c r="N229" s="1169">
        <f t="shared" si="153"/>
        <v>178297300</v>
      </c>
      <c r="O229" s="1169">
        <f t="shared" si="153"/>
        <v>184537700</v>
      </c>
      <c r="P229" s="1169">
        <f t="shared" si="153"/>
        <v>190996500</v>
      </c>
      <c r="Q229" s="1169">
        <f t="shared" si="153"/>
        <v>197681400</v>
      </c>
      <c r="R229" s="1169">
        <f t="shared" si="153"/>
        <v>204600200</v>
      </c>
      <c r="S229" s="1169">
        <f t="shared" si="153"/>
        <v>211761200</v>
      </c>
      <c r="T229" s="1169">
        <f t="shared" si="153"/>
        <v>219172900</v>
      </c>
      <c r="U229" s="1169">
        <f t="shared" si="153"/>
        <v>226844000</v>
      </c>
    </row>
    <row r="230" spans="1:21">
      <c r="A230" s="202"/>
      <c r="B230" s="110"/>
      <c r="C230" s="110"/>
      <c r="D230" s="110"/>
      <c r="E230" s="110"/>
      <c r="F230" s="110"/>
      <c r="G230" s="110"/>
      <c r="H230" s="110"/>
      <c r="I230" s="110"/>
      <c r="J230" s="110"/>
      <c r="K230" s="110"/>
    </row>
    <row r="231" spans="1:21">
      <c r="A231" s="274" t="s">
        <v>307</v>
      </c>
      <c r="B231" s="200"/>
      <c r="C231" s="200"/>
      <c r="D231" s="200"/>
      <c r="E231" s="200"/>
      <c r="F231" s="200"/>
      <c r="G231" s="200"/>
      <c r="H231" s="200"/>
      <c r="I231" s="200"/>
      <c r="J231" s="200"/>
      <c r="K231" s="200"/>
      <c r="L231" s="196"/>
      <c r="M231" s="196"/>
      <c r="N231" s="196"/>
      <c r="O231" s="196"/>
      <c r="P231" s="196"/>
      <c r="Q231" s="196"/>
      <c r="R231" s="196"/>
      <c r="S231" s="196"/>
      <c r="T231" s="196"/>
      <c r="U231" s="196"/>
    </row>
    <row r="232" spans="1:21">
      <c r="A232" s="94" t="s">
        <v>571</v>
      </c>
      <c r="B232" s="200">
        <f t="shared" ref="B232:U232" si="154">B19</f>
        <v>5899713.055555556</v>
      </c>
      <c r="C232" s="200">
        <f t="shared" si="154"/>
        <v>6106200</v>
      </c>
      <c r="D232" s="200">
        <f t="shared" si="154"/>
        <v>6319915</v>
      </c>
      <c r="E232" s="200">
        <f t="shared" si="154"/>
        <v>6541115</v>
      </c>
      <c r="F232" s="200">
        <f t="shared" si="154"/>
        <v>6770055</v>
      </c>
      <c r="G232" s="200">
        <f t="shared" si="154"/>
        <v>7007005</v>
      </c>
      <c r="H232" s="200">
        <f t="shared" si="154"/>
        <v>7252255</v>
      </c>
      <c r="I232" s="200">
        <f t="shared" si="154"/>
        <v>7506080</v>
      </c>
      <c r="J232" s="200">
        <f t="shared" si="154"/>
        <v>7768795</v>
      </c>
      <c r="K232" s="200">
        <f t="shared" si="154"/>
        <v>8040700</v>
      </c>
      <c r="L232" s="196">
        <f t="shared" si="154"/>
        <v>8322125</v>
      </c>
      <c r="M232" s="196">
        <f t="shared" si="154"/>
        <v>8613400</v>
      </c>
      <c r="N232" s="196">
        <f t="shared" si="154"/>
        <v>8914865</v>
      </c>
      <c r="O232" s="196">
        <f t="shared" si="154"/>
        <v>9226885</v>
      </c>
      <c r="P232" s="196">
        <f t="shared" si="154"/>
        <v>9549825</v>
      </c>
      <c r="Q232" s="196">
        <f t="shared" si="154"/>
        <v>9884070</v>
      </c>
      <c r="R232" s="196">
        <f t="shared" si="154"/>
        <v>10230010</v>
      </c>
      <c r="S232" s="196">
        <f t="shared" si="154"/>
        <v>10588060</v>
      </c>
      <c r="T232" s="196">
        <f t="shared" si="154"/>
        <v>10958645</v>
      </c>
      <c r="U232" s="196">
        <f t="shared" si="154"/>
        <v>11342200</v>
      </c>
    </row>
    <row r="233" spans="1:21">
      <c r="A233" s="94" t="s">
        <v>160</v>
      </c>
      <c r="B233" s="200">
        <f t="shared" ref="B233:U233" si="155">B20</f>
        <v>6920000</v>
      </c>
      <c r="C233" s="200">
        <f t="shared" si="155"/>
        <v>7162199.9999999991</v>
      </c>
      <c r="D233" s="200">
        <f t="shared" si="155"/>
        <v>7412876.9999999981</v>
      </c>
      <c r="E233" s="200">
        <f t="shared" si="155"/>
        <v>7672327.6949999975</v>
      </c>
      <c r="F233" s="200">
        <f t="shared" si="155"/>
        <v>7940859.164324997</v>
      </c>
      <c r="G233" s="200">
        <f t="shared" si="155"/>
        <v>8218789.2350763716</v>
      </c>
      <c r="H233" s="200">
        <f t="shared" si="155"/>
        <v>8506446.8583040442</v>
      </c>
      <c r="I233" s="200">
        <f t="shared" si="155"/>
        <v>8804172.4983446859</v>
      </c>
      <c r="J233" s="200">
        <f t="shared" si="155"/>
        <v>9112318.5357867498</v>
      </c>
      <c r="K233" s="200">
        <f t="shared" si="155"/>
        <v>9431249.6845392846</v>
      </c>
      <c r="L233" s="196">
        <f t="shared" si="155"/>
        <v>9761343.4234981593</v>
      </c>
      <c r="M233" s="196">
        <f t="shared" si="155"/>
        <v>10102990.443320595</v>
      </c>
      <c r="N233" s="196">
        <f t="shared" si="155"/>
        <v>10456595.108836815</v>
      </c>
      <c r="O233" s="196">
        <f t="shared" si="155"/>
        <v>10822575.937646102</v>
      </c>
      <c r="P233" s="196">
        <f t="shared" si="155"/>
        <v>11201366.095463715</v>
      </c>
      <c r="Q233" s="196">
        <f t="shared" si="155"/>
        <v>11593413.908804944</v>
      </c>
      <c r="R233" s="196">
        <f t="shared" si="155"/>
        <v>11999183.395613115</v>
      </c>
      <c r="S233" s="196">
        <f t="shared" si="155"/>
        <v>12419154.814459573</v>
      </c>
      <c r="T233" s="196">
        <f t="shared" si="155"/>
        <v>12853825.232965657</v>
      </c>
      <c r="U233" s="196">
        <f t="shared" si="155"/>
        <v>13303709.116119454</v>
      </c>
    </row>
    <row r="234" spans="1:21" s="221" customFormat="1">
      <c r="A234" s="219" t="s">
        <v>161</v>
      </c>
      <c r="B234" s="200">
        <f t="shared" ref="B234:U234" si="156">B21</f>
        <v>7040000.0000000009</v>
      </c>
      <c r="C234" s="200">
        <f t="shared" si="156"/>
        <v>7286400</v>
      </c>
      <c r="D234" s="200">
        <f t="shared" si="156"/>
        <v>7541423.9999999991</v>
      </c>
      <c r="E234" s="200">
        <f t="shared" si="156"/>
        <v>7805373.839999998</v>
      </c>
      <c r="F234" s="200">
        <f t="shared" si="156"/>
        <v>8078561.9243999971</v>
      </c>
      <c r="G234" s="200">
        <f t="shared" si="156"/>
        <v>8361311.591753996</v>
      </c>
      <c r="H234" s="200">
        <f t="shared" si="156"/>
        <v>8653957.4974653851</v>
      </c>
      <c r="I234" s="200">
        <f t="shared" si="156"/>
        <v>8956846.0098766722</v>
      </c>
      <c r="J234" s="200">
        <f t="shared" si="156"/>
        <v>9270335.6202223543</v>
      </c>
      <c r="K234" s="200">
        <f t="shared" si="156"/>
        <v>9594797.3669301365</v>
      </c>
      <c r="L234" s="196">
        <f t="shared" si="156"/>
        <v>9930615.2747726906</v>
      </c>
      <c r="M234" s="196">
        <f t="shared" si="156"/>
        <v>10278186.809389735</v>
      </c>
      <c r="N234" s="196">
        <f t="shared" si="156"/>
        <v>10637923.347718375</v>
      </c>
      <c r="O234" s="196">
        <f t="shared" si="156"/>
        <v>11010250.664888518</v>
      </c>
      <c r="P234" s="196">
        <f t="shared" si="156"/>
        <v>11395609.438159615</v>
      </c>
      <c r="Q234" s="196">
        <f t="shared" si="156"/>
        <v>11794455.7684952</v>
      </c>
      <c r="R234" s="196">
        <f t="shared" si="156"/>
        <v>12207261.720392531</v>
      </c>
      <c r="S234" s="196">
        <f t="shared" si="156"/>
        <v>12634515.880606268</v>
      </c>
      <c r="T234" s="196">
        <f t="shared" si="156"/>
        <v>13076723.936427485</v>
      </c>
      <c r="U234" s="196">
        <f t="shared" si="156"/>
        <v>13534409.274202446</v>
      </c>
    </row>
    <row r="235" spans="1:21" s="221" customFormat="1">
      <c r="A235" s="273" t="s">
        <v>162</v>
      </c>
      <c r="B235" s="220">
        <f t="shared" ref="B235:U235" si="157">(C327)*Rate_ElecBlended*(1+esc_elect)^B$11+(C335)*Rate_NatGas*(1+esc_gas)^B$11+(C343)*Rate_Steam*(1+esc_steam)^B$11+(C351)*rate_util4*(1+esc_chw)^B$11+(C359)*Rate_Util5*(1+esc_hw)^B$11+(C367)*Rate_util6*(1+esc_oil)^B$11-C448</f>
        <v>10582938.947368421</v>
      </c>
      <c r="C235" s="220">
        <f t="shared" si="157"/>
        <v>10963234.968421053</v>
      </c>
      <c r="D235" s="220">
        <f t="shared" si="157"/>
        <v>11108448.998105261</v>
      </c>
      <c r="E235" s="220">
        <f t="shared" si="157"/>
        <v>11255826.801686315</v>
      </c>
      <c r="F235" s="220">
        <f t="shared" si="157"/>
        <v>11126879.472545704</v>
      </c>
      <c r="G235" s="220">
        <f t="shared" si="157"/>
        <v>11274582.933776762</v>
      </c>
      <c r="H235" s="220">
        <f t="shared" si="157"/>
        <v>11407157.684348304</v>
      </c>
      <c r="I235" s="220">
        <f t="shared" si="157"/>
        <v>11536162.174871229</v>
      </c>
      <c r="J235" s="220">
        <f t="shared" si="157"/>
        <v>11666755.368572971</v>
      </c>
      <c r="K235" s="220">
        <f t="shared" si="157"/>
        <v>11798959.125650791</v>
      </c>
      <c r="L235" s="220">
        <f t="shared" si="157"/>
        <v>11932795.644367229</v>
      </c>
      <c r="M235" s="220">
        <f t="shared" si="157"/>
        <v>12068287.466820031</v>
      </c>
      <c r="N235" s="220">
        <f t="shared" si="157"/>
        <v>12205457.484817544</v>
      </c>
      <c r="O235" s="220">
        <f t="shared" si="157"/>
        <v>12344328.945861623</v>
      </c>
      <c r="P235" s="220">
        <f t="shared" si="157"/>
        <v>12484925.459240053</v>
      </c>
      <c r="Q235" s="220">
        <f t="shared" si="157"/>
        <v>12703604.731426144</v>
      </c>
      <c r="R235" s="220">
        <f t="shared" si="157"/>
        <v>12611455.792812647</v>
      </c>
      <c r="S235" s="220">
        <f t="shared" si="157"/>
        <v>12758854.020312499</v>
      </c>
      <c r="T235" s="220">
        <f t="shared" si="157"/>
        <v>12908151.903478781</v>
      </c>
      <c r="U235" s="220">
        <f t="shared" si="157"/>
        <v>13059376.952335993</v>
      </c>
    </row>
    <row r="236" spans="1:21" s="471" customFormat="1">
      <c r="A236" s="571" t="s">
        <v>580</v>
      </c>
      <c r="B236" s="220">
        <f>IF(Alternatives!$B$108="Yes",B431*'Building Info &amp; Assumptions'!$B$119*(1+'Building Info &amp; Assumptions'!$B$120)^B224,0)</f>
        <v>0</v>
      </c>
      <c r="C236" s="220">
        <f>IF(Alternatives!$B$108="Yes",C431*'Building Info &amp; Assumptions'!$B$119*(1+'Building Info &amp; Assumptions'!$B$120)^C224,0)</f>
        <v>0</v>
      </c>
      <c r="D236" s="220">
        <f>IF(Alternatives!$B$108="Yes",D431*'Building Info &amp; Assumptions'!$B$119*(1+'Building Info &amp; Assumptions'!$B$120)^D224,0)</f>
        <v>0</v>
      </c>
      <c r="E236" s="220">
        <f>IF(Alternatives!$B$108="Yes",E431*'Building Info &amp; Assumptions'!$B$119*(1+'Building Info &amp; Assumptions'!$B$120)^E224,0)</f>
        <v>84396.394194803608</v>
      </c>
      <c r="F236" s="220">
        <f>IF(Alternatives!$B$108="Yes",F431*'Building Info &amp; Assumptions'!$B$119*(1+'Building Info &amp; Assumptions'!$B$120)^F224,0)</f>
        <v>42942.36469365978</v>
      </c>
      <c r="G236" s="220">
        <f>IF(Alternatives!$B$108="Yes",G431*'Building Info &amp; Assumptions'!$B$119*(1+'Building Info &amp; Assumptions'!$B$120)^G224,0)</f>
        <v>4865.8564191136993</v>
      </c>
      <c r="H236" s="220">
        <f>IF(Alternatives!$B$108="Yes",H431*'Building Info &amp; Assumptions'!$B$119*(1+'Building Info &amp; Assumptions'!$B$120)^H224,0)</f>
        <v>0</v>
      </c>
      <c r="I236" s="220">
        <f>IF(Alternatives!$B$108="Yes",I431*'Building Info &amp; Assumptions'!$B$119*(1+'Building Info &amp; Assumptions'!$B$120)^I224,0)</f>
        <v>0</v>
      </c>
      <c r="J236" s="220">
        <f>IF(Alternatives!$B$108="Yes",J431*'Building Info &amp; Assumptions'!$B$119*(1+'Building Info &amp; Assumptions'!$B$120)^J224,0)</f>
        <v>0</v>
      </c>
      <c r="K236" s="220">
        <f>IF(Alternatives!$B$108="Yes",K431*'Building Info &amp; Assumptions'!$B$119*(1+'Building Info &amp; Assumptions'!$B$120)^K224,0)</f>
        <v>44447.847646602204</v>
      </c>
      <c r="L236" s="220">
        <f>IF(Alternatives!$B$108="Yes",L431*'Building Info &amp; Assumptions'!$B$119*(1+'Building Info &amp; Assumptions'!$B$120)^L224,0)</f>
        <v>24914.381584151997</v>
      </c>
      <c r="M236" s="220">
        <f>IF(Alternatives!$B$108="Yes",M431*'Building Info &amp; Assumptions'!$B$119*(1+'Building Info &amp; Assumptions'!$B$120)^M224,0)</f>
        <v>4581.7977401452899</v>
      </c>
      <c r="N236" s="220">
        <f>IF(Alternatives!$B$108="Yes",N431*'Building Info &amp; Assumptions'!$B$119*(1+'Building Info &amp; Assumptions'!$B$120)^N224,0)</f>
        <v>0</v>
      </c>
      <c r="O236" s="220">
        <f>IF(Alternatives!$B$108="Yes",O431*'Building Info &amp; Assumptions'!$B$119*(1+'Building Info &amp; Assumptions'!$B$120)^O224,0)</f>
        <v>0</v>
      </c>
      <c r="P236" s="220">
        <f>IF(Alternatives!$B$108="Yes",P431*'Building Info &amp; Assumptions'!$B$119*(1+'Building Info &amp; Assumptions'!$B$120)^P224,0)</f>
        <v>169192.76452560027</v>
      </c>
      <c r="Q236" s="220">
        <f>IF(Alternatives!$B$108="Yes",Q431*'Building Info &amp; Assumptions'!$B$119*(1+'Building Info &amp; Assumptions'!$B$120)^Q224,0)</f>
        <v>150028.614609999</v>
      </c>
      <c r="R236" s="220">
        <f>IF(Alternatives!$B$108="Yes",R431*'Building Info &amp; Assumptions'!$B$119*(1+'Building Info &amp; Assumptions'!$B$120)^R224,0)</f>
        <v>131284.25015222412</v>
      </c>
      <c r="S236" s="220">
        <f>IF(Alternatives!$B$108="Yes",S431*'Building Info &amp; Assumptions'!$B$119*(1+'Building Info &amp; Assumptions'!$B$120)^S224,0)</f>
        <v>117779.03995650829</v>
      </c>
      <c r="T236" s="220">
        <f>IF(Alternatives!$B$108="Yes",T431*'Building Info &amp; Assumptions'!$B$119*(1+'Building Info &amp; Assumptions'!$B$120)^T224,0)</f>
        <v>97189.844788325601</v>
      </c>
      <c r="U236" s="220">
        <f>IF(Alternatives!$B$108="Yes",U431*'Building Info &amp; Assumptions'!$B$119*(1+'Building Info &amp; Assumptions'!$B$120)^U224,0)</f>
        <v>75729.970197433053</v>
      </c>
    </row>
    <row r="237" spans="1:21" s="39" customFormat="1">
      <c r="A237" s="571" t="s">
        <v>581</v>
      </c>
      <c r="B237" s="272">
        <f>B411</f>
        <v>0</v>
      </c>
      <c r="C237" s="272">
        <f t="shared" ref="C237:U237" si="158">C411</f>
        <v>0</v>
      </c>
      <c r="D237" s="272">
        <f t="shared" si="158"/>
        <v>0</v>
      </c>
      <c r="E237" s="272">
        <f t="shared" si="158"/>
        <v>0</v>
      </c>
      <c r="F237" s="272">
        <f t="shared" si="158"/>
        <v>0</v>
      </c>
      <c r="G237" s="272">
        <f t="shared" si="158"/>
        <v>0</v>
      </c>
      <c r="H237" s="272">
        <f t="shared" si="158"/>
        <v>0</v>
      </c>
      <c r="I237" s="272">
        <f t="shared" si="158"/>
        <v>0</v>
      </c>
      <c r="J237" s="272">
        <f t="shared" si="158"/>
        <v>0</v>
      </c>
      <c r="K237" s="272">
        <f t="shared" si="158"/>
        <v>0</v>
      </c>
      <c r="L237" s="272">
        <f t="shared" si="158"/>
        <v>0</v>
      </c>
      <c r="M237" s="272">
        <f t="shared" si="158"/>
        <v>0</v>
      </c>
      <c r="N237" s="272">
        <f t="shared" si="158"/>
        <v>0</v>
      </c>
      <c r="O237" s="272">
        <f t="shared" si="158"/>
        <v>0</v>
      </c>
      <c r="P237" s="272">
        <f t="shared" si="158"/>
        <v>0</v>
      </c>
      <c r="Q237" s="272">
        <f t="shared" si="158"/>
        <v>0</v>
      </c>
      <c r="R237" s="272">
        <f t="shared" si="158"/>
        <v>0</v>
      </c>
      <c r="S237" s="272">
        <f t="shared" si="158"/>
        <v>0</v>
      </c>
      <c r="T237" s="272">
        <f t="shared" si="158"/>
        <v>0</v>
      </c>
      <c r="U237" s="272">
        <f t="shared" si="158"/>
        <v>0</v>
      </c>
    </row>
    <row r="238" spans="1:21">
      <c r="A238" s="94" t="s">
        <v>163</v>
      </c>
      <c r="B238" s="200">
        <f t="shared" ref="B238:U238" si="159">B23</f>
        <v>7040000.0000000009</v>
      </c>
      <c r="C238" s="200">
        <f t="shared" si="159"/>
        <v>7286400</v>
      </c>
      <c r="D238" s="200">
        <f t="shared" si="159"/>
        <v>7541423.9999999991</v>
      </c>
      <c r="E238" s="200">
        <f t="shared" si="159"/>
        <v>7805373.839999998</v>
      </c>
      <c r="F238" s="200">
        <f t="shared" si="159"/>
        <v>8078561.9243999971</v>
      </c>
      <c r="G238" s="200">
        <f t="shared" si="159"/>
        <v>8361311.591753996</v>
      </c>
      <c r="H238" s="200">
        <f t="shared" si="159"/>
        <v>8653957.4974653851</v>
      </c>
      <c r="I238" s="200">
        <f t="shared" si="159"/>
        <v>8956846.0098766722</v>
      </c>
      <c r="J238" s="200">
        <f t="shared" si="159"/>
        <v>9270335.6202223543</v>
      </c>
      <c r="K238" s="200">
        <f t="shared" si="159"/>
        <v>9594797.3669301365</v>
      </c>
      <c r="L238" s="196">
        <f t="shared" si="159"/>
        <v>9930615.2747726906</v>
      </c>
      <c r="M238" s="196">
        <f t="shared" si="159"/>
        <v>10278186.809389735</v>
      </c>
      <c r="N238" s="196">
        <f t="shared" si="159"/>
        <v>10637923.347718375</v>
      </c>
      <c r="O238" s="196">
        <f t="shared" si="159"/>
        <v>11010250.664888518</v>
      </c>
      <c r="P238" s="196">
        <f t="shared" si="159"/>
        <v>11395609.438159615</v>
      </c>
      <c r="Q238" s="196">
        <f t="shared" si="159"/>
        <v>11794455.7684952</v>
      </c>
      <c r="R238" s="196">
        <f t="shared" si="159"/>
        <v>12207261.720392531</v>
      </c>
      <c r="S238" s="196">
        <f t="shared" si="159"/>
        <v>12634515.880606268</v>
      </c>
      <c r="T238" s="196">
        <f t="shared" si="159"/>
        <v>13076723.936427485</v>
      </c>
      <c r="U238" s="196">
        <f t="shared" si="159"/>
        <v>13534409.274202446</v>
      </c>
    </row>
    <row r="239" spans="1:21">
      <c r="A239" s="94" t="s">
        <v>164</v>
      </c>
      <c r="B239" s="200">
        <f t="shared" ref="B239:U239" si="160">B24</f>
        <v>6680000</v>
      </c>
      <c r="C239" s="200">
        <f t="shared" si="160"/>
        <v>6913799.9999999991</v>
      </c>
      <c r="D239" s="200">
        <f t="shared" si="160"/>
        <v>7155782.9999999981</v>
      </c>
      <c r="E239" s="200">
        <f t="shared" si="160"/>
        <v>7406235.4049999975</v>
      </c>
      <c r="F239" s="200">
        <f t="shared" si="160"/>
        <v>7665453.6441749968</v>
      </c>
      <c r="G239" s="200">
        <f t="shared" si="160"/>
        <v>7933744.5217211209</v>
      </c>
      <c r="H239" s="200">
        <f t="shared" si="160"/>
        <v>8211425.5799813597</v>
      </c>
      <c r="I239" s="200">
        <f t="shared" si="160"/>
        <v>8498825.4752807058</v>
      </c>
      <c r="J239" s="200">
        <f t="shared" si="160"/>
        <v>8796284.3669155296</v>
      </c>
      <c r="K239" s="200">
        <f t="shared" si="160"/>
        <v>9104154.3197575733</v>
      </c>
      <c r="L239" s="196">
        <f t="shared" si="160"/>
        <v>9422799.7209490873</v>
      </c>
      <c r="M239" s="196">
        <f t="shared" si="160"/>
        <v>9752597.7111823037</v>
      </c>
      <c r="N239" s="196">
        <f t="shared" si="160"/>
        <v>10093938.631073684</v>
      </c>
      <c r="O239" s="196">
        <f t="shared" si="160"/>
        <v>10447226.483161261</v>
      </c>
      <c r="P239" s="196">
        <f t="shared" si="160"/>
        <v>10812879.410071904</v>
      </c>
      <c r="Q239" s="196">
        <f t="shared" si="160"/>
        <v>11191330.18942442</v>
      </c>
      <c r="R239" s="196">
        <f t="shared" si="160"/>
        <v>11583026.746054273</v>
      </c>
      <c r="S239" s="196">
        <f t="shared" si="160"/>
        <v>11988432.682166172</v>
      </c>
      <c r="T239" s="196">
        <f t="shared" si="160"/>
        <v>12408027.826041987</v>
      </c>
      <c r="U239" s="196">
        <f t="shared" si="160"/>
        <v>12842308.799953455</v>
      </c>
    </row>
    <row r="240" spans="1:21">
      <c r="A240" s="94" t="s">
        <v>165</v>
      </c>
      <c r="B240" s="200">
        <f t="shared" ref="B240:U240" si="161">B25</f>
        <v>2279999.9999999995</v>
      </c>
      <c r="C240" s="200">
        <f t="shared" si="161"/>
        <v>2359799.9999999995</v>
      </c>
      <c r="D240" s="200">
        <f t="shared" si="161"/>
        <v>2442392.9999999995</v>
      </c>
      <c r="E240" s="200">
        <f t="shared" si="161"/>
        <v>2527876.7549999994</v>
      </c>
      <c r="F240" s="200">
        <f t="shared" si="161"/>
        <v>2616352.4414249994</v>
      </c>
      <c r="G240" s="200">
        <f t="shared" si="161"/>
        <v>2707924.7768748743</v>
      </c>
      <c r="H240" s="200">
        <f t="shared" si="161"/>
        <v>2802702.1440654946</v>
      </c>
      <c r="I240" s="200">
        <f t="shared" si="161"/>
        <v>2900796.7191077867</v>
      </c>
      <c r="J240" s="200">
        <f t="shared" si="161"/>
        <v>3002324.6042765588</v>
      </c>
      <c r="K240" s="200">
        <f t="shared" si="161"/>
        <v>3107405.9654262383</v>
      </c>
      <c r="L240" s="196">
        <f t="shared" si="161"/>
        <v>3216165.1742161564</v>
      </c>
      <c r="M240" s="196">
        <f t="shared" si="161"/>
        <v>3328730.9553137217</v>
      </c>
      <c r="N240" s="196">
        <f t="shared" si="161"/>
        <v>3445236.5387497018</v>
      </c>
      <c r="O240" s="196">
        <f t="shared" si="161"/>
        <v>3565819.8176059411</v>
      </c>
      <c r="P240" s="196">
        <f t="shared" si="161"/>
        <v>3690623.5112221488</v>
      </c>
      <c r="Q240" s="196">
        <f t="shared" si="161"/>
        <v>3819795.3341149236</v>
      </c>
      <c r="R240" s="196">
        <f t="shared" si="161"/>
        <v>3953488.1708089458</v>
      </c>
      <c r="S240" s="196">
        <f t="shared" si="161"/>
        <v>4091860.2567872587</v>
      </c>
      <c r="T240" s="196">
        <f t="shared" si="161"/>
        <v>4235075.3657748122</v>
      </c>
      <c r="U240" s="196">
        <f t="shared" si="161"/>
        <v>4383303.0035769306</v>
      </c>
    </row>
    <row r="241" spans="1:21">
      <c r="A241" s="94" t="s">
        <v>166</v>
      </c>
      <c r="B241" s="200">
        <f t="shared" ref="B241:U241" si="162">B26</f>
        <v>2900000</v>
      </c>
      <c r="C241" s="200">
        <f t="shared" si="162"/>
        <v>3001500</v>
      </c>
      <c r="D241" s="200">
        <f t="shared" si="162"/>
        <v>3106552.4999999995</v>
      </c>
      <c r="E241" s="200">
        <f t="shared" si="162"/>
        <v>3215281.8374999994</v>
      </c>
      <c r="F241" s="200">
        <f t="shared" si="162"/>
        <v>3327816.7018124992</v>
      </c>
      <c r="G241" s="200">
        <f t="shared" si="162"/>
        <v>3444290.2863759366</v>
      </c>
      <c r="H241" s="200">
        <f t="shared" si="162"/>
        <v>3564840.4463990941</v>
      </c>
      <c r="I241" s="200">
        <f t="shared" si="162"/>
        <v>3689609.8620230621</v>
      </c>
      <c r="J241" s="200">
        <f t="shared" si="162"/>
        <v>3818746.2071938692</v>
      </c>
      <c r="K241" s="200">
        <f t="shared" si="162"/>
        <v>3952402.3244456542</v>
      </c>
      <c r="L241" s="196">
        <f t="shared" si="162"/>
        <v>4090736.4058012515</v>
      </c>
      <c r="M241" s="196">
        <f t="shared" si="162"/>
        <v>4233912.180004295</v>
      </c>
      <c r="N241" s="196">
        <f t="shared" si="162"/>
        <v>4382099.1063044453</v>
      </c>
      <c r="O241" s="196">
        <f t="shared" si="162"/>
        <v>4535472.5750251003</v>
      </c>
      <c r="P241" s="196">
        <f t="shared" si="162"/>
        <v>4694214.1151509788</v>
      </c>
      <c r="Q241" s="196">
        <f t="shared" si="162"/>
        <v>4858511.6091812626</v>
      </c>
      <c r="R241" s="196">
        <f t="shared" si="162"/>
        <v>5028559.5155026065</v>
      </c>
      <c r="S241" s="196">
        <f t="shared" si="162"/>
        <v>5204559.0985451974</v>
      </c>
      <c r="T241" s="196">
        <f t="shared" si="162"/>
        <v>5386718.6669942793</v>
      </c>
      <c r="U241" s="196">
        <f t="shared" si="162"/>
        <v>5575253.820339079</v>
      </c>
    </row>
    <row r="242" spans="1:21">
      <c r="A242" s="94" t="s">
        <v>572</v>
      </c>
      <c r="B242" s="200">
        <f>+'Building Info &amp; Assumptions'!B$409</f>
        <v>0</v>
      </c>
      <c r="C242" s="200">
        <f>+'Building Info &amp; Assumptions'!C$409</f>
        <v>0</v>
      </c>
      <c r="D242" s="200">
        <f>+'Building Info &amp; Assumptions'!D$409</f>
        <v>0</v>
      </c>
      <c r="E242" s="200">
        <f>+'Building Info &amp; Assumptions'!E$409</f>
        <v>0</v>
      </c>
      <c r="F242" s="200">
        <f>+'Building Info &amp; Assumptions'!F$409</f>
        <v>0</v>
      </c>
      <c r="G242" s="200">
        <f>+'Building Info &amp; Assumptions'!G$409</f>
        <v>0</v>
      </c>
      <c r="H242" s="200">
        <f>+'Building Info &amp; Assumptions'!H$409</f>
        <v>0</v>
      </c>
      <c r="I242" s="200">
        <f>+'Building Info &amp; Assumptions'!I$409</f>
        <v>0</v>
      </c>
      <c r="J242" s="200">
        <f>+'Building Info &amp; Assumptions'!J$409</f>
        <v>0</v>
      </c>
      <c r="K242" s="200">
        <f>+'Building Info &amp; Assumptions'!K$409</f>
        <v>0</v>
      </c>
      <c r="L242" s="200">
        <f>+'Building Info &amp; Assumptions'!L$409</f>
        <v>0</v>
      </c>
      <c r="M242" s="200">
        <f>+'Building Info &amp; Assumptions'!M$409</f>
        <v>0</v>
      </c>
      <c r="N242" s="200">
        <f>+'Building Info &amp; Assumptions'!N$409</f>
        <v>0</v>
      </c>
      <c r="O242" s="200">
        <f>+'Building Info &amp; Assumptions'!O$409</f>
        <v>0</v>
      </c>
      <c r="P242" s="200">
        <f>+'Building Info &amp; Assumptions'!P$409</f>
        <v>0</v>
      </c>
      <c r="Q242" s="200">
        <f>+'Building Info &amp; Assumptions'!Q$409</f>
        <v>0</v>
      </c>
      <c r="R242" s="200">
        <f>+'Building Info &amp; Assumptions'!R$409</f>
        <v>0</v>
      </c>
      <c r="S242" s="200">
        <f>+'Building Info &amp; Assumptions'!S$409</f>
        <v>0</v>
      </c>
      <c r="T242" s="200">
        <f>+'Building Info &amp; Assumptions'!T$409</f>
        <v>0</v>
      </c>
      <c r="U242" s="200">
        <f>+'Building Info &amp; Assumptions'!U$409</f>
        <v>0</v>
      </c>
    </row>
    <row r="243" spans="1:21">
      <c r="A243" s="274" t="s">
        <v>6</v>
      </c>
      <c r="B243" s="200">
        <f>SUMIF(Alternatives!$I$88:$I$107,B224,Alternatives!$G$88:$G$107)</f>
        <v>0</v>
      </c>
      <c r="C243" s="200">
        <f>SUMIF(Alternatives!$I$88:$I$107,C224,Alternatives!$G$88:$G$107)*(1+'Building Info &amp; Assumptions'!$E$77)^B224</f>
        <v>0</v>
      </c>
      <c r="D243" s="200">
        <f>SUMIF(Alternatives!$I$88:$I$107,D224,Alternatives!$G$88:$G$107)*(1+'Building Info &amp; Assumptions'!$E$77)^C224</f>
        <v>0</v>
      </c>
      <c r="E243" s="200">
        <f>SUMIF(Alternatives!$I$88:$I$107,E224,Alternatives!$G$88:$G$107)*(1+'Building Info &amp; Assumptions'!$E$77)^D224</f>
        <v>0</v>
      </c>
      <c r="F243" s="200">
        <f>SUMIF(Alternatives!$I$88:$I$107,F224,Alternatives!$G$88:$G$107)*(1+'Building Info &amp; Assumptions'!$E$77)^E224</f>
        <v>0</v>
      </c>
      <c r="G243" s="200">
        <f>SUMIF(Alternatives!$I$88:$I$107,G224,Alternatives!$G$88:$G$107)*(1+'Building Info &amp; Assumptions'!$E$77)^F224</f>
        <v>0</v>
      </c>
      <c r="H243" s="200">
        <f>SUMIF(Alternatives!$I$88:$I$107,H224,Alternatives!$G$88:$G$107)*(1+'Building Info &amp; Assumptions'!$E$77)^G224</f>
        <v>0</v>
      </c>
      <c r="I243" s="200">
        <f>SUMIF(Alternatives!$I$88:$I$107,I224,Alternatives!$G$88:$G$107)*(1+'Building Info &amp; Assumptions'!$E$77)^H224</f>
        <v>0</v>
      </c>
      <c r="J243" s="200">
        <f>SUMIF(Alternatives!$I$88:$I$107,J224,Alternatives!$G$88:$G$107)*(1+'Building Info &amp; Assumptions'!$E$77)^I224</f>
        <v>0</v>
      </c>
      <c r="K243" s="200">
        <f>SUMIF(Alternatives!$I$88:$I$107,K224,Alternatives!$G$88:$G$107)*(1+'Building Info &amp; Assumptions'!$E$77)^J224</f>
        <v>0</v>
      </c>
      <c r="L243" s="196">
        <f>SUMIF(Alternatives!$I$88:$I$107,L224,Alternatives!$G$88:$G$107)*(1+'Building Info &amp; Assumptions'!$E$77)^K224</f>
        <v>0</v>
      </c>
      <c r="M243" s="196">
        <f>SUMIF(Alternatives!$I$88:$I$107,M224,Alternatives!$G$88:$G$107)*(1+'Building Info &amp; Assumptions'!$E$77)^L224</f>
        <v>0</v>
      </c>
      <c r="N243" s="196">
        <f>SUMIF(Alternatives!$I$88:$I$107,N224,Alternatives!$G$88:$G$107)*(1+'Building Info &amp; Assumptions'!$E$77)^M224</f>
        <v>0</v>
      </c>
      <c r="O243" s="196">
        <f>SUMIF(Alternatives!$I$88:$I$107,O224,Alternatives!$G$88:$G$107)*(1+'Building Info &amp; Assumptions'!$E$77)^N224</f>
        <v>0</v>
      </c>
      <c r="P243" s="196">
        <f>SUMIF(Alternatives!$I$88:$I$107,P224,Alternatives!$G$88:$G$107)*(1+'Building Info &amp; Assumptions'!$E$77)^O224</f>
        <v>0</v>
      </c>
      <c r="Q243" s="196">
        <f>SUMIF(Alternatives!$I$88:$I$107,Q224,Alternatives!$G$88:$G$107)*(1+'Building Info &amp; Assumptions'!$E$77)^P224</f>
        <v>0</v>
      </c>
      <c r="R243" s="196">
        <f>SUMIF(Alternatives!$I$88:$I$107,R224,Alternatives!$G$88:$G$107)*(1+'Building Info &amp; Assumptions'!$E$77)^Q224</f>
        <v>0</v>
      </c>
      <c r="S243" s="196">
        <f>SUMIF(Alternatives!$I$88:$I$107,S224,Alternatives!$G$88:$G$107)*(1+'Building Info &amp; Assumptions'!$E$77)^R224</f>
        <v>0</v>
      </c>
      <c r="T243" s="196">
        <f>SUMIF(Alternatives!$I$88:$I$107,T224,Alternatives!$G$88:$G$107)*(1+'Building Info &amp; Assumptions'!$E$77)^S224</f>
        <v>0</v>
      </c>
      <c r="U243" s="196">
        <f>SUMIF(Alternatives!$I$88:$I$107,U224,Alternatives!$G$88:$G$107)*(1+'Building Info &amp; Assumptions'!$E$77)^T224</f>
        <v>0</v>
      </c>
    </row>
    <row r="244" spans="1:21">
      <c r="A244" s="271" t="s">
        <v>5</v>
      </c>
      <c r="B244" s="272">
        <f>SUMIF(Alternatives!$I$88:$I$107,B224,Alternatives!$F$88:$F$107)</f>
        <v>0</v>
      </c>
      <c r="C244" s="272">
        <f>SUMIF(Alternatives!$I$88:$I$107,C224,Alternatives!$F$88:$F$107)*(1+'Building Info &amp; Assumptions'!$E$77)^B224</f>
        <v>517499.99999999994</v>
      </c>
      <c r="D244" s="272">
        <f>SUMIF(Alternatives!$I$88:$I$107,D224,Alternatives!$F$88:$F$107)*(1+'Building Info &amp; Assumptions'!$E$77)^C224</f>
        <v>0</v>
      </c>
      <c r="E244" s="272">
        <f>SUMIF(Alternatives!$I$88:$I$107,E224,Alternatives!$F$88:$F$107)*(1+'Building Info &amp; Assumptions'!$E$77)^D224</f>
        <v>0</v>
      </c>
      <c r="F244" s="272">
        <f>SUMIF(Alternatives!$I$88:$I$107,F224,Alternatives!$F$88:$F$107)*(1+'Building Info &amp; Assumptions'!$E$77)^E224</f>
        <v>3442569.0018749991</v>
      </c>
      <c r="G244" s="272">
        <f>SUMIF(Alternatives!$I$88:$I$107,G224,Alternatives!$F$88:$F$107)*(1+'Building Info &amp; Assumptions'!$E$77)^F224</f>
        <v>0</v>
      </c>
      <c r="H244" s="272">
        <f>SUMIF(Alternatives!$I$88:$I$107,H224,Alternatives!$F$88:$F$107)*(1+'Building Info &amp; Assumptions'!$E$77)^G224</f>
        <v>4917021.3053780608</v>
      </c>
      <c r="I244" s="272">
        <f>SUMIF(Alternatives!$I$88:$I$107,I224,Alternatives!$F$88:$F$107)*(1+'Building Info &amp; Assumptions'!$E$77)^H224</f>
        <v>0</v>
      </c>
      <c r="J244" s="272">
        <f>SUMIF(Alternatives!$I$88:$I$107,J224,Alternatives!$F$88:$F$107)*(1+'Building Info &amp; Assumptions'!$E$77)^I224</f>
        <v>0</v>
      </c>
      <c r="K244" s="272">
        <f>SUMIF(Alternatives!$I$88:$I$107,K224,Alternatives!$F$88:$F$107)*(1+'Building Info &amp; Assumptions'!$E$77)^J224</f>
        <v>0</v>
      </c>
      <c r="L244" s="272">
        <f>SUMIF(Alternatives!$I$88:$I$107,L224,Alternatives!$F$88:$F$107)*(1+'Building Info &amp; Assumptions'!$E$77)^K224</f>
        <v>0</v>
      </c>
      <c r="M244" s="272">
        <f>SUMIF(Alternatives!$I$88:$I$107,M224,Alternatives!$F$88:$F$107)*(1+'Building Info &amp; Assumptions'!$E$77)^L224</f>
        <v>0</v>
      </c>
      <c r="N244" s="272">
        <f>SUMIF(Alternatives!$I$88:$I$107,N224,Alternatives!$F$88:$F$107)*(1+'Building Info &amp; Assumptions'!$E$77)^M224</f>
        <v>0</v>
      </c>
      <c r="O244" s="272">
        <f>SUMIF(Alternatives!$I$88:$I$107,O224,Alternatives!$F$88:$F$107)*(1+'Building Info &amp; Assumptions'!$E$77)^N224</f>
        <v>0</v>
      </c>
      <c r="P244" s="272">
        <f>SUMIF(Alternatives!$I$88:$I$107,P224,Alternatives!$F$88:$F$107)*(1+'Building Info &amp; Assumptions'!$E$77)^O224</f>
        <v>0</v>
      </c>
      <c r="Q244" s="272">
        <f>SUMIF(Alternatives!$I$88:$I$107,Q224,Alternatives!$F$88:$F$107)*(1+'Building Info &amp; Assumptions'!$E$77)^P224</f>
        <v>0</v>
      </c>
      <c r="R244" s="272">
        <f>SUMIF(Alternatives!$I$88:$I$107,R224,Alternatives!$F$88:$F$107)*(1+'Building Info &amp; Assumptions'!$E$77)^Q224</f>
        <v>0</v>
      </c>
      <c r="S244" s="272">
        <f>SUMIF(Alternatives!$I$88:$I$107,S224,Alternatives!$F$88:$F$107)*(1+'Building Info &amp; Assumptions'!$E$77)^R224</f>
        <v>0</v>
      </c>
      <c r="T244" s="272">
        <f>SUMIF(Alternatives!$I$88:$I$107,T224,Alternatives!$F$88:$F$107)*(1+'Building Info &amp; Assumptions'!$E$77)^S224</f>
        <v>0</v>
      </c>
      <c r="U244" s="272">
        <f>SUMIF(Alternatives!$I$88:$I$107,U224,Alternatives!$F$88:$F$107)*(1+'Building Info &amp; Assumptions'!$E$77)^T224</f>
        <v>0</v>
      </c>
    </row>
    <row r="245" spans="1:21">
      <c r="A245" s="110"/>
      <c r="B245" s="204"/>
      <c r="C245" s="205"/>
      <c r="D245" s="205"/>
      <c r="E245" s="205"/>
      <c r="F245" s="205"/>
      <c r="G245" s="205"/>
      <c r="H245" s="205"/>
      <c r="I245" s="205"/>
      <c r="J245" s="205"/>
      <c r="K245" s="205"/>
      <c r="L245" s="205"/>
      <c r="M245" s="205"/>
      <c r="N245" s="205"/>
      <c r="O245" s="205"/>
      <c r="P245" s="205"/>
      <c r="Q245" s="205"/>
      <c r="R245" s="205"/>
      <c r="S245" s="205"/>
      <c r="T245" s="205"/>
      <c r="U245" s="205"/>
    </row>
    <row r="246" spans="1:21" s="110" customFormat="1">
      <c r="A246" s="571" t="s">
        <v>573</v>
      </c>
      <c r="B246" s="220">
        <f>-SUMIFS(Alternatives!$D$88:$D$107,Alternatives!$I$88:$I$107,B224,Alternatives!$H$88:$H$107,"Yes")</f>
        <v>0</v>
      </c>
      <c r="C246" s="220">
        <f>IF($B$6&gt;=C224, (B246*(1+'Building Info &amp; Assumptions'!$E$77))-SUMIFS(Alternatives!$D$88:$D$107,Alternatives!$I$88:$I$107,C224,Alternatives!$H$88:$H$107,"Yes")*(1+'Building Info &amp; Assumptions'!$E$77)^B224, 0)</f>
        <v>0</v>
      </c>
      <c r="D246" s="220">
        <f>IF($B$6&gt;=D224, (C246*(1+'Building Info &amp; Assumptions'!$E$77))-SUMIFS(Alternatives!$D$88:$D$107,Alternatives!$I$88:$I$107,D224,Alternatives!$H$88:$H$107,"Yes")*(1+'Building Info &amp; Assumptions'!$E$77)^C224, 0)</f>
        <v>0</v>
      </c>
      <c r="E246" s="220">
        <f>IF($B$6&gt;=E224, (D246*(1+'Building Info &amp; Assumptions'!$E$77))-SUMIFS(Alternatives!$D$88:$D$107,Alternatives!$I$88:$I$107,E224,Alternatives!$H$88:$H$107,"Yes")*(1+'Building Info &amp; Assumptions'!$E$77)^D224, 0)</f>
        <v>0</v>
      </c>
      <c r="F246" s="220">
        <f>IF($B$6&gt;=F224, (E246*(1+'Building Info &amp; Assumptions'!$E$77))-SUMIFS(Alternatives!$D$88:$D$107,Alternatives!$I$88:$I$107,F224,Alternatives!$H$88:$H$107,"Yes")*(1+'Building Info &amp; Assumptions'!$E$77)^E224, 0)</f>
        <v>0</v>
      </c>
      <c r="G246" s="220">
        <f>IF($B$6&gt;=G224, (F246*(1+'Building Info &amp; Assumptions'!$E$77))-SUMIFS(Alternatives!$D$88:$D$107,Alternatives!$I$88:$I$107,G224,Alternatives!$H$88:$H$107,"Yes")*(1+'Building Info &amp; Assumptions'!$E$77)^F224, 0)</f>
        <v>0</v>
      </c>
      <c r="H246" s="220">
        <f>IF($B$6&gt;=H224, (G246*(1+'Building Info &amp; Assumptions'!$E$77))-SUMIFS(Alternatives!$D$88:$D$107,Alternatives!$I$88:$I$107,H224,Alternatives!$H$88:$H$107,"Yes")*(1+'Building Info &amp; Assumptions'!$E$77)^G224, 0)</f>
        <v>0</v>
      </c>
      <c r="I246" s="220">
        <f>IF($B$6&gt;=I224, (H246*(1+'Building Info &amp; Assumptions'!$E$77))-SUMIFS(Alternatives!$D$88:$D$107,Alternatives!$I$88:$I$107,I224,Alternatives!$H$88:$H$107,"Yes")*(1+'Building Info &amp; Assumptions'!$E$77)^H224, 0)</f>
        <v>0</v>
      </c>
      <c r="J246" s="220">
        <f>IF($B$6&gt;=J224, (I246*(1+'Building Info &amp; Assumptions'!$E$77))-SUMIFS(Alternatives!$D$88:$D$107,Alternatives!$I$88:$I$107,J224,Alternatives!$H$88:$H$107,"Yes")*(1+'Building Info &amp; Assumptions'!$E$77)^I224, 0)</f>
        <v>0</v>
      </c>
      <c r="K246" s="220">
        <f>IF($B$6&gt;=K224, (J246*(1+'Building Info &amp; Assumptions'!$E$77))-SUMIFS(Alternatives!$D$88:$D$107,Alternatives!$I$88:$I$107,K224,Alternatives!$H$88:$H$107,"Yes")*(1+'Building Info &amp; Assumptions'!$E$77)^J224, 0)</f>
        <v>0</v>
      </c>
      <c r="L246" s="220">
        <f>IF($B$6&gt;=L224, (K246*(1+'Building Info &amp; Assumptions'!$E$77))-SUMIFS(Alternatives!$D$88:$D$107,Alternatives!$I$88:$I$107,L224,Alternatives!$H$88:$H$107,"Yes")*(1+'Building Info &amp; Assumptions'!$E$77)^K224, 0)</f>
        <v>0</v>
      </c>
      <c r="M246" s="220">
        <f>IF($B$6&gt;=M224, (L246*(1+'Building Info &amp; Assumptions'!$E$77))-SUMIFS(Alternatives!$D$88:$D$107,Alternatives!$I$88:$I$107,M224,Alternatives!$H$88:$H$107,"Yes")*(1+'Building Info &amp; Assumptions'!$E$77)^L224, 0)</f>
        <v>0</v>
      </c>
      <c r="N246" s="220">
        <f>IF($B$6&gt;=N224, (M246*(1+'Building Info &amp; Assumptions'!$E$77))-SUMIFS(Alternatives!$D$88:$D$107,Alternatives!$I$88:$I$107,N224,Alternatives!$H$88:$H$107,"Yes")*(1+'Building Info &amp; Assumptions'!$E$77)^M224, 0)</f>
        <v>0</v>
      </c>
      <c r="O246" s="220">
        <f>IF($B$6&gt;=O224, (N246*(1+'Building Info &amp; Assumptions'!$E$77))-SUMIFS(Alternatives!$D$88:$D$107,Alternatives!$I$88:$I$107,O224,Alternatives!$H$88:$H$107,"Yes")*(1+'Building Info &amp; Assumptions'!$E$77)^N224, 0)</f>
        <v>0</v>
      </c>
      <c r="P246" s="220">
        <f>IF($B$6&gt;=P224, (O246*(1+'Building Info &amp; Assumptions'!$E$77))-SUMIFS(Alternatives!$D$88:$D$107,Alternatives!$I$88:$I$107,P224,Alternatives!$H$88:$H$107,"Yes")*(1+'Building Info &amp; Assumptions'!$E$77)^O224, 0)</f>
        <v>0</v>
      </c>
      <c r="Q246" s="220">
        <f>IF($B$6&gt;=Q224, (P246*(1+'Building Info &amp; Assumptions'!$E$77))-SUMIFS(Alternatives!$D$88:$D$107,Alternatives!$I$88:$I$107,Q224,Alternatives!$H$88:$H$107,"Yes")*(1+'Building Info &amp; Assumptions'!$E$77)^P224, 0)</f>
        <v>0</v>
      </c>
      <c r="R246" s="220">
        <f>IF($B$6&gt;=R224, (Q246*(1+'Building Info &amp; Assumptions'!$E$77))-SUMIFS(Alternatives!$D$88:$D$107,Alternatives!$I$88:$I$107,R224,Alternatives!$H$88:$H$107,"Yes")*(1+'Building Info &amp; Assumptions'!$E$77)^Q224, 0)</f>
        <v>0</v>
      </c>
      <c r="S246" s="220">
        <f>IF($B$6&gt;=S224, (R246*(1+'Building Info &amp; Assumptions'!$E$77))-SUMIFS(Alternatives!$D$88:$D$107,Alternatives!$I$88:$I$107,S224,Alternatives!$H$88:$H$107,"Yes")*(1+'Building Info &amp; Assumptions'!$E$77)^R224, 0)</f>
        <v>0</v>
      </c>
      <c r="T246" s="220">
        <f>IF($B$6&gt;=T224, (S246*(1+'Building Info &amp; Assumptions'!$E$77))-SUMIFS(Alternatives!$D$88:$D$107,Alternatives!$I$88:$I$107,T224,Alternatives!$H$88:$H$107,"Yes")*(1+'Building Info &amp; Assumptions'!$E$77)^S224, 0)</f>
        <v>0</v>
      </c>
      <c r="U246" s="220">
        <f>IF($B$6&gt;=U224, (T246*(1+'Building Info &amp; Assumptions'!$E$77))-SUMIFS(Alternatives!$D$88:$D$107,Alternatives!$I$88:$I$107,U224,Alternatives!$H$88:$H$107,"Yes")*(1+'Building Info &amp; Assumptions'!$E$77)^T224, 0)</f>
        <v>0</v>
      </c>
    </row>
    <row r="247" spans="1:21" s="110" customFormat="1">
      <c r="A247" s="571" t="s">
        <v>574</v>
      </c>
      <c r="B247" s="272">
        <f>SUMIFS(Alternatives!$G$88:$G$107,Alternatives!$I$88:$I$107,B224,Alternatives!$H$88:$H$107,"Yes")</f>
        <v>0</v>
      </c>
      <c r="C247" s="272">
        <f>SUMIFS(Alternatives!$G$88:$G$107,Alternatives!$I$88:$I$107,C224,Alternatives!$H$88:$H$107,"Yes")*(1+'Building Info &amp; Assumptions'!$E$77)^B224</f>
        <v>0</v>
      </c>
      <c r="D247" s="272">
        <f>SUMIFS(Alternatives!$G$88:$G$107,Alternatives!$I$88:$I$107,D224,Alternatives!$H$88:$H$107,"Yes")*(1+'Building Info &amp; Assumptions'!$E$77)^C224</f>
        <v>0</v>
      </c>
      <c r="E247" s="272">
        <f>SUMIFS(Alternatives!$G$88:$G$107,Alternatives!$I$88:$I$107,E224,Alternatives!$H$88:$H$107,"Yes")*(1+'Building Info &amp; Assumptions'!$E$77)^D224</f>
        <v>0</v>
      </c>
      <c r="F247" s="272">
        <f>SUMIFS(Alternatives!$G$88:$G$107,Alternatives!$I$88:$I$107,F224,Alternatives!$H$88:$H$107,"Yes")*(1+'Building Info &amp; Assumptions'!$E$77)^E224</f>
        <v>0</v>
      </c>
      <c r="G247" s="272">
        <f>SUMIFS(Alternatives!$G$88:$G$107,Alternatives!$I$88:$I$107,G224,Alternatives!$H$88:$H$107,"Yes")*(1+'Building Info &amp; Assumptions'!$E$77)^F224</f>
        <v>0</v>
      </c>
      <c r="H247" s="272">
        <f>SUMIFS(Alternatives!$G$88:$G$107,Alternatives!$I$88:$I$107,H224,Alternatives!$H$88:$H$107,"Yes")*(1+'Building Info &amp; Assumptions'!$E$77)^G224</f>
        <v>0</v>
      </c>
      <c r="I247" s="272">
        <f>SUMIFS(Alternatives!$G$88:$G$107,Alternatives!$I$88:$I$107,I224,Alternatives!$H$88:$H$107,"Yes")*(1+'Building Info &amp; Assumptions'!$E$77)^H224</f>
        <v>0</v>
      </c>
      <c r="J247" s="272">
        <f>SUMIFS(Alternatives!$G$88:$G$107,Alternatives!$I$88:$I$107,J224,Alternatives!$H$88:$H$107,"Yes")*(1+'Building Info &amp; Assumptions'!$E$77)^I224</f>
        <v>0</v>
      </c>
      <c r="K247" s="272">
        <f>SUMIFS(Alternatives!$G$88:$G$107,Alternatives!$I$88:$I$107,K224,Alternatives!$H$88:$H$107,"Yes")*(1+'Building Info &amp; Assumptions'!$E$77)^J224</f>
        <v>0</v>
      </c>
      <c r="L247" s="272">
        <f>SUMIFS(Alternatives!$G$88:$G$107,Alternatives!$I$88:$I$107,L224,Alternatives!$H$88:$H$107,"Yes")*(1+'Building Info &amp; Assumptions'!$E$77)^K224</f>
        <v>0</v>
      </c>
      <c r="M247" s="272">
        <f>SUMIFS(Alternatives!$G$88:$G$107,Alternatives!$I$88:$I$107,M224,Alternatives!$H$88:$H$107,"Yes")*(1+'Building Info &amp; Assumptions'!$E$77)^L224</f>
        <v>0</v>
      </c>
      <c r="N247" s="272">
        <f>SUMIFS(Alternatives!$G$88:$G$107,Alternatives!$I$88:$I$107,N224,Alternatives!$H$88:$H$107,"Yes")*(1+'Building Info &amp; Assumptions'!$E$77)^M224</f>
        <v>0</v>
      </c>
      <c r="O247" s="272">
        <f>SUMIFS(Alternatives!$G$88:$G$107,Alternatives!$I$88:$I$107,O224,Alternatives!$H$88:$H$107,"Yes")*(1+'Building Info &amp; Assumptions'!$E$77)^N224</f>
        <v>0</v>
      </c>
      <c r="P247" s="272">
        <f>SUMIFS(Alternatives!$G$88:$G$107,Alternatives!$I$88:$I$107,P224,Alternatives!$H$88:$H$107,"Yes")*(1+'Building Info &amp; Assumptions'!$E$77)^O224</f>
        <v>0</v>
      </c>
      <c r="Q247" s="272">
        <f>SUMIFS(Alternatives!$G$88:$G$107,Alternatives!$I$88:$I$107,Q224,Alternatives!$H$88:$H$107,"Yes")*(1+'Building Info &amp; Assumptions'!$E$77)^P224</f>
        <v>0</v>
      </c>
      <c r="R247" s="272">
        <f>SUMIFS(Alternatives!$G$88:$G$107,Alternatives!$I$88:$I$107,R224,Alternatives!$H$88:$H$107,"Yes")*(1+'Building Info &amp; Assumptions'!$E$77)^Q224</f>
        <v>0</v>
      </c>
      <c r="S247" s="272">
        <f>SUMIFS(Alternatives!$G$88:$G$107,Alternatives!$I$88:$I$107,S224,Alternatives!$H$88:$H$107,"Yes")*(1+'Building Info &amp; Assumptions'!$E$77)^R224</f>
        <v>0</v>
      </c>
      <c r="T247" s="272">
        <f>SUMIFS(Alternatives!$G$88:$G$107,Alternatives!$I$88:$I$107,T224,Alternatives!$H$88:$H$107,"Yes")*(1+'Building Info &amp; Assumptions'!$E$77)^S224</f>
        <v>0</v>
      </c>
      <c r="U247" s="272">
        <f>SUMIFS(Alternatives!$G$88:$G$107,Alternatives!$I$88:$I$107,U224,Alternatives!$H$88:$H$107,"Yes")*(1+'Building Info &amp; Assumptions'!$E$77)^T224</f>
        <v>0</v>
      </c>
    </row>
    <row r="248" spans="1:21">
      <c r="A248" s="571" t="s">
        <v>575</v>
      </c>
      <c r="B248" s="272">
        <f>SUMIFS(Alternatives!$F$88:$F$107,Alternatives!$I$88:$I$107,B224,Alternatives!$H$88:$H$107,"Yes")</f>
        <v>0</v>
      </c>
      <c r="C248" s="272">
        <f>SUMIFS(Alternatives!$F$88:$F$107,Alternatives!$I$88:$I$107,C224,Alternatives!$H$88:$H$107,"Yes")*(1+'Building Info &amp; Assumptions'!$E$77)^B224</f>
        <v>0</v>
      </c>
      <c r="D248" s="272">
        <f>SUMIFS(Alternatives!$F$88:$F$107,Alternatives!$I$88:$I$107,D224,Alternatives!$H$88:$H$107,"Yes")*(1+'Building Info &amp; Assumptions'!$E$77)^C224</f>
        <v>0</v>
      </c>
      <c r="E248" s="272">
        <f>SUMIFS(Alternatives!$F$88:$F$107,Alternatives!$I$88:$I$107,E224,Alternatives!$H$88:$H$107,"Yes")*(1+'Building Info &amp; Assumptions'!$E$77)^D224</f>
        <v>0</v>
      </c>
      <c r="F248" s="272">
        <f>SUMIFS(Alternatives!$F$88:$F$107,Alternatives!$I$88:$I$107,F224,Alternatives!$H$88:$H$107,"Yes")*(1+'Building Info &amp; Assumptions'!$E$77)^E224</f>
        <v>0</v>
      </c>
      <c r="G248" s="272">
        <f>SUMIFS(Alternatives!$F$88:$F$107,Alternatives!$I$88:$I$107,G224,Alternatives!$H$88:$H$107,"Yes")*(1+'Building Info &amp; Assumptions'!$E$77)^F224</f>
        <v>0</v>
      </c>
      <c r="H248" s="272">
        <f>SUMIFS(Alternatives!$F$88:$F$107,Alternatives!$I$88:$I$107,H224,Alternatives!$H$88:$H$107,"Yes")*(1+'Building Info &amp; Assumptions'!$E$77)^G224</f>
        <v>0</v>
      </c>
      <c r="I248" s="272">
        <f>SUMIFS(Alternatives!$F$88:$F$107,Alternatives!$I$88:$I$107,I224,Alternatives!$H$88:$H$107,"Yes")*(1+'Building Info &amp; Assumptions'!$E$77)^H224</f>
        <v>0</v>
      </c>
      <c r="J248" s="272">
        <f>SUMIFS(Alternatives!$F$88:$F$107,Alternatives!$I$88:$I$107,J224,Alternatives!$H$88:$H$107,"Yes")*(1+'Building Info &amp; Assumptions'!$E$77)^I224</f>
        <v>0</v>
      </c>
      <c r="K248" s="272">
        <f>SUMIFS(Alternatives!$F$88:$F$107,Alternatives!$I$88:$I$107,K224,Alternatives!$H$88:$H$107,"Yes")*(1+'Building Info &amp; Assumptions'!$E$77)^J224</f>
        <v>0</v>
      </c>
      <c r="L248" s="272">
        <f>SUMIFS(Alternatives!$F$88:$F$107,Alternatives!$I$88:$I$107,L224,Alternatives!$H$88:$H$107,"Yes")*(1+'Building Info &amp; Assumptions'!$E$77)^K224</f>
        <v>0</v>
      </c>
      <c r="M248" s="272">
        <f>SUMIFS(Alternatives!$F$88:$F$107,Alternatives!$I$88:$I$107,M224,Alternatives!$H$88:$H$107,"Yes")*(1+'Building Info &amp; Assumptions'!$E$77)^L224</f>
        <v>0</v>
      </c>
      <c r="N248" s="272">
        <f>SUMIFS(Alternatives!$F$88:$F$107,Alternatives!$I$88:$I$107,N224,Alternatives!$H$88:$H$107,"Yes")*(1+'Building Info &amp; Assumptions'!$E$77)^M224</f>
        <v>0</v>
      </c>
      <c r="O248" s="272">
        <f>SUMIFS(Alternatives!$F$88:$F$107,Alternatives!$I$88:$I$107,O224,Alternatives!$H$88:$H$107,"Yes")*(1+'Building Info &amp; Assumptions'!$E$77)^N224</f>
        <v>0</v>
      </c>
      <c r="P248" s="272">
        <f>SUMIFS(Alternatives!$F$88:$F$107,Alternatives!$I$88:$I$107,P224,Alternatives!$H$88:$H$107,"Yes")*(1+'Building Info &amp; Assumptions'!$E$77)^O224</f>
        <v>0</v>
      </c>
      <c r="Q248" s="272">
        <f>SUMIFS(Alternatives!$F$88:$F$107,Alternatives!$I$88:$I$107,Q224,Alternatives!$H$88:$H$107,"Yes")*(1+'Building Info &amp; Assumptions'!$E$77)^P224</f>
        <v>0</v>
      </c>
      <c r="R248" s="272">
        <f>SUMIFS(Alternatives!$F$88:$F$107,Alternatives!$I$88:$I$107,R224,Alternatives!$H$88:$H$107,"Yes")*(1+'Building Info &amp; Assumptions'!$E$77)^Q224</f>
        <v>0</v>
      </c>
      <c r="S248" s="272">
        <f>SUMIFS(Alternatives!$F$88:$F$107,Alternatives!$I$88:$I$107,S224,Alternatives!$H$88:$H$107,"Yes")*(1+'Building Info &amp; Assumptions'!$E$77)^R224</f>
        <v>0</v>
      </c>
      <c r="T248" s="272">
        <f>SUMIFS(Alternatives!$F$88:$F$107,Alternatives!$I$88:$I$107,T224,Alternatives!$H$88:$H$107,"Yes")*(1+'Building Info &amp; Assumptions'!$E$77)^S224</f>
        <v>0</v>
      </c>
      <c r="U248" s="272">
        <f>SUMIFS(Alternatives!$F$88:$F$107,Alternatives!$I$88:$I$107,U224,Alternatives!$H$88:$H$107,"Yes")*(1+'Building Info &amp; Assumptions'!$E$77)^T224</f>
        <v>0</v>
      </c>
    </row>
    <row r="249" spans="1:21">
      <c r="A249" s="202"/>
      <c r="B249" s="276"/>
      <c r="C249" s="276"/>
      <c r="D249" s="276"/>
      <c r="E249" s="276"/>
      <c r="F249" s="276"/>
      <c r="G249" s="276"/>
      <c r="H249" s="276"/>
      <c r="I249" s="276"/>
      <c r="J249" s="276"/>
      <c r="K249" s="276"/>
      <c r="L249" s="276"/>
      <c r="M249" s="276"/>
      <c r="N249" s="276"/>
      <c r="O249" s="276"/>
      <c r="P249" s="276"/>
      <c r="Q249" s="276"/>
      <c r="R249" s="276"/>
      <c r="S249" s="276"/>
      <c r="T249" s="276"/>
      <c r="U249" s="276"/>
    </row>
    <row r="250" spans="1:21">
      <c r="A250" s="202" t="s">
        <v>309</v>
      </c>
      <c r="B250" s="206">
        <f>SUM(B231:B244)</f>
        <v>49342652.00292398</v>
      </c>
      <c r="C250" s="206">
        <f t="shared" ref="C250:K250" si="163">SUM(C231:C244)</f>
        <v>51597034.968421057</v>
      </c>
      <c r="D250" s="206">
        <f t="shared" si="163"/>
        <v>52628817.498105258</v>
      </c>
      <c r="E250" s="206">
        <f t="shared" si="163"/>
        <v>54313807.568381116</v>
      </c>
      <c r="F250" s="206">
        <f t="shared" si="163"/>
        <v>59090051.639651842</v>
      </c>
      <c r="G250" s="206">
        <f t="shared" si="163"/>
        <v>57313825.793752186</v>
      </c>
      <c r="H250" s="206">
        <f t="shared" si="163"/>
        <v>63969764.013407126</v>
      </c>
      <c r="I250" s="206">
        <f t="shared" si="163"/>
        <v>60849338.749380812</v>
      </c>
      <c r="J250" s="206">
        <f t="shared" si="163"/>
        <v>62705895.323190384</v>
      </c>
      <c r="K250" s="206">
        <f t="shared" si="163"/>
        <v>64668914.001326419</v>
      </c>
      <c r="L250" s="206">
        <f t="shared" ref="L250:T250" si="164">SUM(L231:L244)</f>
        <v>66632110.29996141</v>
      </c>
      <c r="M250" s="206">
        <f t="shared" si="164"/>
        <v>68660874.173160553</v>
      </c>
      <c r="N250" s="206">
        <f t="shared" si="164"/>
        <v>70774038.56521894</v>
      </c>
      <c r="O250" s="206">
        <f t="shared" si="164"/>
        <v>72962810.089077055</v>
      </c>
      <c r="P250" s="206">
        <f t="shared" si="164"/>
        <v>75394245.231993631</v>
      </c>
      <c r="Q250" s="206">
        <f t="shared" si="164"/>
        <v>77789665.924552113</v>
      </c>
      <c r="R250" s="206">
        <f t="shared" si="164"/>
        <v>79951531.311728865</v>
      </c>
      <c r="S250" s="206">
        <f t="shared" si="164"/>
        <v>82437731.673439741</v>
      </c>
      <c r="T250" s="206">
        <f t="shared" si="164"/>
        <v>85001081.712898791</v>
      </c>
      <c r="U250" s="206">
        <f>SUM(U231:U244)</f>
        <v>87650700.210927233</v>
      </c>
    </row>
    <row r="251" spans="1:21" s="221" customFormat="1">
      <c r="A251" s="571" t="s">
        <v>576</v>
      </c>
      <c r="B251" s="206">
        <f>B246+B247+B248</f>
        <v>0</v>
      </c>
      <c r="C251" s="206">
        <f t="shared" ref="C251:U251" si="165">C246+C247+C248</f>
        <v>0</v>
      </c>
      <c r="D251" s="206">
        <f t="shared" si="165"/>
        <v>0</v>
      </c>
      <c r="E251" s="206">
        <f t="shared" si="165"/>
        <v>0</v>
      </c>
      <c r="F251" s="206">
        <f t="shared" si="165"/>
        <v>0</v>
      </c>
      <c r="G251" s="206">
        <f t="shared" si="165"/>
        <v>0</v>
      </c>
      <c r="H251" s="206">
        <f t="shared" si="165"/>
        <v>0</v>
      </c>
      <c r="I251" s="206">
        <f>I246+I247+I248</f>
        <v>0</v>
      </c>
      <c r="J251" s="206">
        <f t="shared" si="165"/>
        <v>0</v>
      </c>
      <c r="K251" s="206">
        <f t="shared" si="165"/>
        <v>0</v>
      </c>
      <c r="L251" s="206">
        <f t="shared" si="165"/>
        <v>0</v>
      </c>
      <c r="M251" s="206">
        <f t="shared" si="165"/>
        <v>0</v>
      </c>
      <c r="N251" s="206">
        <f t="shared" si="165"/>
        <v>0</v>
      </c>
      <c r="O251" s="206">
        <f t="shared" si="165"/>
        <v>0</v>
      </c>
      <c r="P251" s="206">
        <f t="shared" si="165"/>
        <v>0</v>
      </c>
      <c r="Q251" s="206">
        <f t="shared" si="165"/>
        <v>0</v>
      </c>
      <c r="R251" s="206">
        <f t="shared" si="165"/>
        <v>0</v>
      </c>
      <c r="S251" s="206">
        <f t="shared" si="165"/>
        <v>0</v>
      </c>
      <c r="T251" s="206">
        <f t="shared" si="165"/>
        <v>0</v>
      </c>
      <c r="U251" s="206">
        <f t="shared" si="165"/>
        <v>0</v>
      </c>
    </row>
    <row r="252" spans="1:21">
      <c r="A252" s="110"/>
      <c r="B252" s="207"/>
      <c r="C252" s="207"/>
      <c r="D252" s="207"/>
      <c r="E252" s="207"/>
      <c r="F252" s="207"/>
      <c r="G252" s="207"/>
      <c r="H252" s="207"/>
      <c r="I252" s="207"/>
      <c r="J252" s="207"/>
      <c r="K252" s="207"/>
      <c r="L252" s="207"/>
      <c r="M252" s="207"/>
      <c r="N252" s="207"/>
      <c r="O252" s="207"/>
      <c r="P252" s="207"/>
      <c r="Q252" s="207"/>
      <c r="R252" s="207"/>
      <c r="S252" s="207"/>
      <c r="T252" s="207"/>
      <c r="U252" s="207"/>
    </row>
    <row r="253" spans="1:21">
      <c r="A253" s="110" t="s">
        <v>577</v>
      </c>
      <c r="C253" s="208">
        <f>C250-B250</f>
        <v>2254382.9654970765</v>
      </c>
      <c r="D253" s="208">
        <f t="shared" ref="D253:K253" si="166">D250-C250</f>
        <v>1031782.5296842009</v>
      </c>
      <c r="E253" s="208">
        <f t="shared" si="166"/>
        <v>1684990.070275858</v>
      </c>
      <c r="F253" s="208">
        <f t="shared" si="166"/>
        <v>4776244.0712707266</v>
      </c>
      <c r="G253" s="208">
        <f t="shared" si="166"/>
        <v>-1776225.8458996564</v>
      </c>
      <c r="H253" s="208">
        <f t="shared" si="166"/>
        <v>6655938.2196549401</v>
      </c>
      <c r="I253" s="208">
        <f t="shared" si="166"/>
        <v>-3120425.264026314</v>
      </c>
      <c r="J253" s="208">
        <f t="shared" si="166"/>
        <v>1856556.5738095716</v>
      </c>
      <c r="K253" s="208">
        <f t="shared" si="166"/>
        <v>1963018.6781360358</v>
      </c>
      <c r="L253" s="208">
        <f t="shared" ref="L253:U253" si="167">L250-K250</f>
        <v>1963196.298634991</v>
      </c>
      <c r="M253" s="208">
        <f t="shared" si="167"/>
        <v>2028763.8731991425</v>
      </c>
      <c r="N253" s="208">
        <f t="shared" si="167"/>
        <v>2113164.3920583874</v>
      </c>
      <c r="O253" s="208">
        <f t="shared" si="167"/>
        <v>2188771.5238581151</v>
      </c>
      <c r="P253" s="208">
        <f t="shared" si="167"/>
        <v>2431435.1429165751</v>
      </c>
      <c r="Q253" s="208">
        <f t="shared" si="167"/>
        <v>2395420.6925584823</v>
      </c>
      <c r="R253" s="208">
        <f t="shared" si="167"/>
        <v>2161865.3871767521</v>
      </c>
      <c r="S253" s="208">
        <f t="shared" si="167"/>
        <v>2486200.3617108762</v>
      </c>
      <c r="T253" s="208">
        <f t="shared" si="167"/>
        <v>2563350.0394590497</v>
      </c>
      <c r="U253" s="208">
        <f t="shared" si="167"/>
        <v>2649618.4980284423</v>
      </c>
    </row>
    <row r="254" spans="1:21">
      <c r="A254" s="110"/>
      <c r="C254" s="209">
        <f t="shared" ref="C254:K254" si="168">C253/B250</f>
        <v>4.568832184706012E-2</v>
      </c>
      <c r="D254" s="209">
        <f t="shared" si="168"/>
        <v>1.9996934519894077E-2</v>
      </c>
      <c r="E254" s="209">
        <f t="shared" si="168"/>
        <v>3.2016491161643922E-2</v>
      </c>
      <c r="F254" s="209">
        <f t="shared" si="168"/>
        <v>8.7937934847551108E-2</v>
      </c>
      <c r="G254" s="209">
        <f t="shared" si="168"/>
        <v>-3.0059642809784518E-2</v>
      </c>
      <c r="H254" s="209">
        <f t="shared" si="168"/>
        <v>0.11613145916321831</v>
      </c>
      <c r="I254" s="209">
        <f t="shared" si="168"/>
        <v>-4.8779690095031747E-2</v>
      </c>
      <c r="J254" s="209">
        <f t="shared" si="168"/>
        <v>3.0510710748331074E-2</v>
      </c>
      <c r="K254" s="209">
        <f t="shared" si="168"/>
        <v>3.1305169442498289E-2</v>
      </c>
      <c r="L254" s="209">
        <f t="shared" ref="L254:U254" si="169">L253/K250</f>
        <v>3.0357650641770852E-2</v>
      </c>
      <c r="M254" s="209">
        <f t="shared" si="169"/>
        <v>3.0447240287995465E-2</v>
      </c>
      <c r="N254" s="209">
        <f t="shared" si="169"/>
        <v>3.0776834951577424E-2</v>
      </c>
      <c r="O254" s="209">
        <f t="shared" si="169"/>
        <v>3.0926192262451458E-2</v>
      </c>
      <c r="P254" s="209">
        <f t="shared" si="169"/>
        <v>3.3324307821315326E-2</v>
      </c>
      <c r="Q254" s="209">
        <f t="shared" si="169"/>
        <v>3.1771930141187787E-2</v>
      </c>
      <c r="R254" s="209">
        <f t="shared" si="169"/>
        <v>2.7791164308039795E-2</v>
      </c>
      <c r="S254" s="209">
        <f t="shared" si="169"/>
        <v>3.1096344509240832E-2</v>
      </c>
      <c r="T254" s="209">
        <f t="shared" si="169"/>
        <v>3.1094378598543176E-2</v>
      </c>
      <c r="U254" s="209">
        <f t="shared" si="169"/>
        <v>3.1171585639084478E-2</v>
      </c>
    </row>
    <row r="255" spans="1:21" hidden="1">
      <c r="A255" s="110" t="s">
        <v>311</v>
      </c>
      <c r="C255" s="208">
        <f>C250-$B$165</f>
        <v>1651317.7023391873</v>
      </c>
      <c r="D255" s="208">
        <f t="shared" ref="D255:K255" si="170">D250-$B$165</f>
        <v>2683100.2320233881</v>
      </c>
      <c r="E255" s="208">
        <f t="shared" si="170"/>
        <v>4368090.3022992462</v>
      </c>
      <c r="F255" s="208">
        <f t="shared" si="170"/>
        <v>9144334.3735699728</v>
      </c>
      <c r="G255" s="208">
        <f t="shared" si="170"/>
        <v>7368108.5276703164</v>
      </c>
      <c r="H255" s="208">
        <f t="shared" si="170"/>
        <v>14024046.747325256</v>
      </c>
      <c r="I255" s="208">
        <f t="shared" si="170"/>
        <v>10903621.483298942</v>
      </c>
      <c r="J255" s="208">
        <f t="shared" si="170"/>
        <v>12760178.057108514</v>
      </c>
      <c r="K255" s="208">
        <f t="shared" si="170"/>
        <v>14723196.73524455</v>
      </c>
      <c r="L255" s="208">
        <f t="shared" ref="L255:U255" si="171">L250-$B$165</f>
        <v>16686393.033879541</v>
      </c>
      <c r="M255" s="208">
        <f t="shared" si="171"/>
        <v>18715156.907078683</v>
      </c>
      <c r="N255" s="208">
        <f t="shared" si="171"/>
        <v>20828321.299137071</v>
      </c>
      <c r="O255" s="208">
        <f t="shared" si="171"/>
        <v>23017092.822995186</v>
      </c>
      <c r="P255" s="208">
        <f t="shared" si="171"/>
        <v>25448527.965911761</v>
      </c>
      <c r="Q255" s="208">
        <f t="shared" si="171"/>
        <v>27843948.658470243</v>
      </c>
      <c r="R255" s="208">
        <f t="shared" si="171"/>
        <v>30005814.045646995</v>
      </c>
      <c r="S255" s="208">
        <f t="shared" si="171"/>
        <v>32492014.407357872</v>
      </c>
      <c r="T255" s="208">
        <f t="shared" si="171"/>
        <v>35055364.446816921</v>
      </c>
      <c r="U255" s="208">
        <f t="shared" si="171"/>
        <v>37704982.944845363</v>
      </c>
    </row>
    <row r="256" spans="1:21">
      <c r="A256" s="110"/>
      <c r="B256" s="207"/>
      <c r="C256" s="207"/>
      <c r="D256" s="207"/>
      <c r="E256" s="207"/>
      <c r="F256" s="207"/>
      <c r="G256" s="207"/>
      <c r="H256" s="207"/>
      <c r="I256" s="207"/>
      <c r="J256" s="207"/>
      <c r="K256" s="207"/>
      <c r="L256" s="207"/>
      <c r="M256" s="207"/>
      <c r="N256" s="207"/>
      <c r="O256" s="207"/>
      <c r="P256" s="207"/>
      <c r="Q256" s="207"/>
      <c r="R256" s="207"/>
      <c r="S256" s="207"/>
      <c r="T256" s="207"/>
      <c r="U256" s="207"/>
    </row>
    <row r="257" spans="1:22" ht="15.95" thickBot="1">
      <c r="A257" s="202" t="s">
        <v>312</v>
      </c>
      <c r="B257" s="210">
        <f t="shared" ref="B257:K257" si="172">B229-B250</f>
        <v>68651609.108187139</v>
      </c>
      <c r="C257" s="210">
        <f t="shared" si="172"/>
        <v>70526965.031578943</v>
      </c>
      <c r="D257" s="210">
        <f t="shared" si="172"/>
        <v>73769482.501894742</v>
      </c>
      <c r="E257" s="210">
        <f t="shared" si="172"/>
        <v>76508492.431618884</v>
      </c>
      <c r="F257" s="210">
        <f t="shared" si="172"/>
        <v>76311048.360348165</v>
      </c>
      <c r="G257" s="210">
        <f t="shared" si="172"/>
        <v>82826274.206247807</v>
      </c>
      <c r="H257" s="210">
        <f t="shared" si="172"/>
        <v>81075335.986592874</v>
      </c>
      <c r="I257" s="210">
        <f t="shared" si="172"/>
        <v>89272261.250619188</v>
      </c>
      <c r="J257" s="210">
        <f t="shared" si="172"/>
        <v>92670004.676809609</v>
      </c>
      <c r="K257" s="210">
        <f t="shared" si="172"/>
        <v>96145085.998673588</v>
      </c>
      <c r="L257" s="210">
        <f t="shared" ref="L257:U257" si="173">L229-L250</f>
        <v>99810389.700038582</v>
      </c>
      <c r="M257" s="210">
        <f t="shared" si="173"/>
        <v>103607125.82683945</v>
      </c>
      <c r="N257" s="210">
        <f t="shared" si="173"/>
        <v>107523261.43478106</v>
      </c>
      <c r="O257" s="210">
        <f t="shared" si="173"/>
        <v>111574889.91092294</v>
      </c>
      <c r="P257" s="210">
        <f t="shared" si="173"/>
        <v>115602254.76800637</v>
      </c>
      <c r="Q257" s="210">
        <f t="shared" si="173"/>
        <v>119891734.07544789</v>
      </c>
      <c r="R257" s="210">
        <f t="shared" si="173"/>
        <v>124648668.68827114</v>
      </c>
      <c r="S257" s="210">
        <f t="shared" si="173"/>
        <v>129323468.32656026</v>
      </c>
      <c r="T257" s="210">
        <f t="shared" si="173"/>
        <v>134171818.28710121</v>
      </c>
      <c r="U257" s="210">
        <f t="shared" si="173"/>
        <v>139193299.78907275</v>
      </c>
    </row>
    <row r="258" spans="1:22" s="221" customFormat="1" ht="17.100000000000001" thickTop="1" thickBot="1">
      <c r="A258" s="571" t="s">
        <v>578</v>
      </c>
      <c r="B258" s="718">
        <f>-B251</f>
        <v>0</v>
      </c>
      <c r="C258" s="718">
        <f t="shared" ref="C258:U258" si="174">-C251</f>
        <v>0</v>
      </c>
      <c r="D258" s="718">
        <f t="shared" si="174"/>
        <v>0</v>
      </c>
      <c r="E258" s="718">
        <f t="shared" si="174"/>
        <v>0</v>
      </c>
      <c r="F258" s="718">
        <f t="shared" si="174"/>
        <v>0</v>
      </c>
      <c r="G258" s="718">
        <f t="shared" si="174"/>
        <v>0</v>
      </c>
      <c r="H258" s="718">
        <f t="shared" si="174"/>
        <v>0</v>
      </c>
      <c r="I258" s="718">
        <f t="shared" si="174"/>
        <v>0</v>
      </c>
      <c r="J258" s="718">
        <f t="shared" si="174"/>
        <v>0</v>
      </c>
      <c r="K258" s="718">
        <f t="shared" si="174"/>
        <v>0</v>
      </c>
      <c r="L258" s="718">
        <f t="shared" si="174"/>
        <v>0</v>
      </c>
      <c r="M258" s="718">
        <f t="shared" si="174"/>
        <v>0</v>
      </c>
      <c r="N258" s="718">
        <f t="shared" si="174"/>
        <v>0</v>
      </c>
      <c r="O258" s="718">
        <f t="shared" si="174"/>
        <v>0</v>
      </c>
      <c r="P258" s="718">
        <f t="shared" si="174"/>
        <v>0</v>
      </c>
      <c r="Q258" s="718">
        <f t="shared" si="174"/>
        <v>0</v>
      </c>
      <c r="R258" s="718">
        <f t="shared" si="174"/>
        <v>0</v>
      </c>
      <c r="S258" s="718">
        <f t="shared" si="174"/>
        <v>0</v>
      </c>
      <c r="T258" s="718">
        <f t="shared" si="174"/>
        <v>0</v>
      </c>
      <c r="U258" s="718">
        <f t="shared" si="174"/>
        <v>0</v>
      </c>
    </row>
    <row r="259" spans="1:22" ht="15.95" thickTop="1">
      <c r="A259" s="110"/>
      <c r="B259" s="211"/>
      <c r="C259" s="211"/>
      <c r="D259" s="211"/>
      <c r="E259" s="211"/>
      <c r="F259" s="211"/>
      <c r="G259" s="211"/>
      <c r="H259" s="110"/>
      <c r="I259" s="110"/>
      <c r="J259" s="110"/>
      <c r="K259" s="110"/>
    </row>
    <row r="260" spans="1:22">
      <c r="A260" s="110" t="s">
        <v>310</v>
      </c>
      <c r="C260" s="208">
        <f>C257-B257</f>
        <v>1875355.9233918041</v>
      </c>
      <c r="D260" s="208">
        <f t="shared" ref="D260:K260" si="175">D257-C257</f>
        <v>3242517.4703157991</v>
      </c>
      <c r="E260" s="208">
        <f t="shared" si="175"/>
        <v>2739009.929724142</v>
      </c>
      <c r="F260" s="208">
        <f t="shared" si="175"/>
        <v>-197444.07127071917</v>
      </c>
      <c r="G260" s="208">
        <f t="shared" si="175"/>
        <v>6515225.8458996415</v>
      </c>
      <c r="H260" s="208">
        <f t="shared" si="175"/>
        <v>-1750938.2196549326</v>
      </c>
      <c r="I260" s="208">
        <f t="shared" si="175"/>
        <v>8196925.264026314</v>
      </c>
      <c r="J260" s="208">
        <f t="shared" si="175"/>
        <v>3397743.426190421</v>
      </c>
      <c r="K260" s="208">
        <f t="shared" si="175"/>
        <v>3475081.3218639791</v>
      </c>
      <c r="L260" s="208">
        <f t="shared" ref="L260:U260" si="176">L257-K257</f>
        <v>3665303.701364994</v>
      </c>
      <c r="M260" s="208">
        <f t="shared" si="176"/>
        <v>3796736.1268008649</v>
      </c>
      <c r="N260" s="208">
        <f t="shared" si="176"/>
        <v>3916135.6079416126</v>
      </c>
      <c r="O260" s="208">
        <f t="shared" si="176"/>
        <v>4051628.4761418849</v>
      </c>
      <c r="P260" s="208">
        <f t="shared" si="176"/>
        <v>4027364.8570834249</v>
      </c>
      <c r="Q260" s="208">
        <f t="shared" si="176"/>
        <v>4289479.3074415177</v>
      </c>
      <c r="R260" s="208">
        <f t="shared" si="176"/>
        <v>4756934.6128232479</v>
      </c>
      <c r="S260" s="208">
        <f t="shared" si="176"/>
        <v>4674799.6382891238</v>
      </c>
      <c r="T260" s="208">
        <f t="shared" si="176"/>
        <v>4848349.9605409503</v>
      </c>
      <c r="U260" s="208">
        <f t="shared" si="176"/>
        <v>5021481.5019715428</v>
      </c>
    </row>
    <row r="261" spans="1:22">
      <c r="A261" s="110"/>
      <c r="C261" s="209">
        <f t="shared" ref="C261:K261" si="177">C260/B257</f>
        <v>2.7316998796582555E-2</v>
      </c>
      <c r="D261" s="209">
        <f t="shared" si="177"/>
        <v>4.5975570746081856E-2</v>
      </c>
      <c r="E261" s="209">
        <f t="shared" si="177"/>
        <v>3.7129309259473137E-2</v>
      </c>
      <c r="F261" s="209">
        <f t="shared" si="177"/>
        <v>-2.5806817648013269E-3</v>
      </c>
      <c r="G261" s="209">
        <f t="shared" si="177"/>
        <v>8.5377228931964269E-2</v>
      </c>
      <c r="H261" s="209">
        <f t="shared" si="177"/>
        <v>-2.1139888718100214E-2</v>
      </c>
      <c r="I261" s="209">
        <f t="shared" si="177"/>
        <v>0.10110257533045326</v>
      </c>
      <c r="J261" s="209">
        <f t="shared" si="177"/>
        <v>3.8060461094983795E-2</v>
      </c>
      <c r="K261" s="209">
        <f t="shared" si="177"/>
        <v>3.7499526777660858E-2</v>
      </c>
      <c r="L261" s="209">
        <f t="shared" ref="L261:U261" si="178">L260/K257</f>
        <v>3.8122631679954611E-2</v>
      </c>
      <c r="M261" s="209">
        <f t="shared" si="178"/>
        <v>3.8039488055414308E-2</v>
      </c>
      <c r="N261" s="209">
        <f t="shared" si="178"/>
        <v>3.7797936934248363E-2</v>
      </c>
      <c r="O261" s="209">
        <f t="shared" si="178"/>
        <v>3.7681413510688815E-2</v>
      </c>
      <c r="P261" s="209">
        <f t="shared" si="178"/>
        <v>3.6095620262755507E-2</v>
      </c>
      <c r="Q261" s="209">
        <f t="shared" si="178"/>
        <v>3.7105498643168831E-2</v>
      </c>
      <c r="R261" s="209">
        <f t="shared" si="178"/>
        <v>3.9676918926118028E-2</v>
      </c>
      <c r="S261" s="209">
        <f t="shared" si="178"/>
        <v>3.7503807200541729E-2</v>
      </c>
      <c r="T261" s="209">
        <f t="shared" si="178"/>
        <v>3.749010155139184E-2</v>
      </c>
      <c r="U261" s="209">
        <f t="shared" si="178"/>
        <v>3.742575427595804E-2</v>
      </c>
    </row>
    <row r="262" spans="1:22">
      <c r="A262" s="110" t="s">
        <v>311</v>
      </c>
      <c r="C262" s="208">
        <f>C257-$B$172</f>
        <v>2478421.1865496933</v>
      </c>
      <c r="D262" s="208">
        <f t="shared" ref="D262:K262" si="179">D257-$B$172</f>
        <v>5720938.6568654925</v>
      </c>
      <c r="E262" s="208">
        <f t="shared" si="179"/>
        <v>8459948.5865896344</v>
      </c>
      <c r="F262" s="208">
        <f t="shared" si="179"/>
        <v>8262504.5153189152</v>
      </c>
      <c r="G262" s="208">
        <f t="shared" si="179"/>
        <v>14777730.361218557</v>
      </c>
      <c r="H262" s="208">
        <f t="shared" si="179"/>
        <v>13026792.141563624</v>
      </c>
      <c r="I262" s="208">
        <f t="shared" si="179"/>
        <v>21223717.405589938</v>
      </c>
      <c r="J262" s="208">
        <f t="shared" si="179"/>
        <v>24621460.831780359</v>
      </c>
      <c r="K262" s="208">
        <f t="shared" si="179"/>
        <v>28096542.153644338</v>
      </c>
      <c r="L262" s="208">
        <f t="shared" ref="L262:U262" si="180">L257-$B$172</f>
        <v>31761845.855009332</v>
      </c>
      <c r="M262" s="208">
        <f t="shared" si="180"/>
        <v>35558581.981810197</v>
      </c>
      <c r="N262" s="208">
        <f t="shared" si="180"/>
        <v>39474717.58975181</v>
      </c>
      <c r="O262" s="208">
        <f t="shared" si="180"/>
        <v>43526346.065893695</v>
      </c>
      <c r="P262" s="208">
        <f t="shared" si="180"/>
        <v>47553710.92297712</v>
      </c>
      <c r="Q262" s="208">
        <f t="shared" si="180"/>
        <v>51843190.230418637</v>
      </c>
      <c r="R262" s="208">
        <f t="shared" si="180"/>
        <v>56600124.843241885</v>
      </c>
      <c r="S262" s="208">
        <f t="shared" si="180"/>
        <v>61274924.481531009</v>
      </c>
      <c r="T262" s="208">
        <f t="shared" si="180"/>
        <v>66123274.442071959</v>
      </c>
      <c r="U262" s="208">
        <f t="shared" si="180"/>
        <v>71144755.944043502</v>
      </c>
    </row>
    <row r="263" spans="1:22">
      <c r="A263" s="110"/>
      <c r="C263" s="212"/>
      <c r="D263" s="211"/>
      <c r="E263" s="211"/>
      <c r="F263" s="211"/>
      <c r="G263" s="211"/>
      <c r="H263" s="110"/>
      <c r="I263" s="110"/>
      <c r="J263" s="110"/>
      <c r="K263" s="110"/>
    </row>
    <row r="264" spans="1:22" s="304" customFormat="1">
      <c r="A264" s="303" t="s">
        <v>588</v>
      </c>
      <c r="H264" s="303"/>
      <c r="L264" s="432"/>
      <c r="M264" s="432"/>
      <c r="N264" s="432"/>
      <c r="O264" s="432"/>
      <c r="P264" s="432"/>
      <c r="Q264" s="432"/>
      <c r="R264" s="432"/>
      <c r="S264" s="432"/>
      <c r="T264" s="432"/>
      <c r="U264" s="432"/>
    </row>
    <row r="265" spans="1:22" s="374" customFormat="1"/>
    <row r="266" spans="1:22" s="375" customFormat="1">
      <c r="A266" s="375" t="s">
        <v>589</v>
      </c>
    </row>
    <row r="267" spans="1:22" s="375" customFormat="1">
      <c r="A267" s="375" t="s">
        <v>590</v>
      </c>
      <c r="B267" s="479">
        <f>Alternatives!$B$11</f>
        <v>2021</v>
      </c>
      <c r="C267" s="479">
        <f t="shared" ref="C267:V267" si="181">B267+1</f>
        <v>2022</v>
      </c>
      <c r="D267" s="479">
        <f t="shared" si="181"/>
        <v>2023</v>
      </c>
      <c r="E267" s="479">
        <f t="shared" si="181"/>
        <v>2024</v>
      </c>
      <c r="F267" s="479">
        <f t="shared" si="181"/>
        <v>2025</v>
      </c>
      <c r="G267" s="479">
        <f t="shared" si="181"/>
        <v>2026</v>
      </c>
      <c r="H267" s="479">
        <f t="shared" si="181"/>
        <v>2027</v>
      </c>
      <c r="I267" s="479">
        <f t="shared" si="181"/>
        <v>2028</v>
      </c>
      <c r="J267" s="479">
        <f t="shared" si="181"/>
        <v>2029</v>
      </c>
      <c r="K267" s="479">
        <f t="shared" si="181"/>
        <v>2030</v>
      </c>
      <c r="L267" s="479">
        <f t="shared" si="181"/>
        <v>2031</v>
      </c>
      <c r="M267" s="479">
        <f t="shared" si="181"/>
        <v>2032</v>
      </c>
      <c r="N267" s="479">
        <f t="shared" si="181"/>
        <v>2033</v>
      </c>
      <c r="O267" s="479">
        <f t="shared" si="181"/>
        <v>2034</v>
      </c>
      <c r="P267" s="479">
        <f t="shared" si="181"/>
        <v>2035</v>
      </c>
      <c r="Q267" s="479">
        <f t="shared" si="181"/>
        <v>2036</v>
      </c>
      <c r="R267" s="479">
        <f t="shared" si="181"/>
        <v>2037</v>
      </c>
      <c r="S267" s="479">
        <f t="shared" si="181"/>
        <v>2038</v>
      </c>
      <c r="T267" s="479">
        <f t="shared" si="181"/>
        <v>2039</v>
      </c>
      <c r="U267" s="479">
        <f t="shared" si="181"/>
        <v>2040</v>
      </c>
      <c r="V267" s="479">
        <f t="shared" si="181"/>
        <v>2041</v>
      </c>
    </row>
    <row r="268" spans="1:22" s="375" customFormat="1">
      <c r="A268" s="375" t="s">
        <v>591</v>
      </c>
      <c r="B268" s="481">
        <f>'Operating Statements'!B42/1000000</f>
        <v>68.589108055555556</v>
      </c>
      <c r="C268" s="481">
        <f ca="1">'Operating Statements'!C42/1000000</f>
        <v>63.729130518399998</v>
      </c>
      <c r="D268" s="481">
        <f ca="1">'Operating Statements'!D42/1000000</f>
        <v>74.06283617478401</v>
      </c>
      <c r="E268" s="481">
        <f ca="1">'Operating Statements'!E42/1000000</f>
        <v>76.88761393725585</v>
      </c>
      <c r="F268" s="481">
        <f ca="1">'Operating Statements'!F42/1000000</f>
        <v>79.814113972304398</v>
      </c>
      <c r="G268" s="481">
        <f ca="1">'Operating Statements'!G42/1000000</f>
        <v>82.845919746602235</v>
      </c>
      <c r="H268" s="481">
        <f ca="1">'Operating Statements'!H42/1000000</f>
        <v>79.061091735784885</v>
      </c>
      <c r="I268" s="481">
        <f ca="1">'Operating Statements'!I42/1000000</f>
        <v>89.322508037414323</v>
      </c>
      <c r="J268" s="481">
        <f ca="1">'Operating Statements'!J42/1000000</f>
        <v>92.694190069986618</v>
      </c>
      <c r="K268" s="481">
        <f ca="1">'Operating Statements'!K42/1000000</f>
        <v>96.186865954713156</v>
      </c>
      <c r="L268" s="481">
        <f ca="1">'Operating Statements'!L42/1000000</f>
        <v>99.804972469609496</v>
      </c>
      <c r="M268" s="481">
        <f ca="1">'Operating Statements'!M42/1000000</f>
        <v>99.196186495146776</v>
      </c>
      <c r="N268" s="481">
        <f ca="1">'Operating Statements'!N42/1000000</f>
        <v>107.45853051608761</v>
      </c>
      <c r="O268" s="481">
        <f ca="1">'Operating Statements'!O42/1000000</f>
        <v>111.48018303351691</v>
      </c>
      <c r="P268" s="481">
        <f ca="1">'Operating Statements'!P42/1000000</f>
        <v>115.64587836383572</v>
      </c>
      <c r="Q268" s="481">
        <f ca="1">'Operating Statements'!Q42/1000000</f>
        <v>119.96075803190365</v>
      </c>
      <c r="R268" s="481">
        <f ca="1">'Operating Statements'!R42/1000000</f>
        <v>124.42998323608785</v>
      </c>
      <c r="S268" s="481">
        <f ca="1">'Operating Statements'!S42/1000000</f>
        <v>129.05911222482419</v>
      </c>
      <c r="T268" s="481">
        <f ca="1">'Operating Statements'!T42/1000000</f>
        <v>133.85381258159964</v>
      </c>
      <c r="U268" s="481">
        <f ca="1">'Operating Statements'!U42/1000000</f>
        <v>138.81985841515342</v>
      </c>
      <c r="V268" s="480"/>
    </row>
    <row r="269" spans="1:22" s="375" customFormat="1">
      <c r="A269" s="719" t="s">
        <v>592</v>
      </c>
      <c r="B269" s="481">
        <f>'Operating Statements'!B43/1000000</f>
        <v>0</v>
      </c>
      <c r="C269" s="481">
        <f>'Operating Statements'!C43/1000000</f>
        <v>0</v>
      </c>
      <c r="D269" s="481">
        <f>'Operating Statements'!D43/1000000</f>
        <v>0</v>
      </c>
      <c r="E269" s="481">
        <f>'Operating Statements'!E43/1000000</f>
        <v>0</v>
      </c>
      <c r="F269" s="481">
        <f>'Operating Statements'!F43/1000000</f>
        <v>0</v>
      </c>
      <c r="G269" s="481">
        <f>'Operating Statements'!G43/1000000</f>
        <v>0</v>
      </c>
      <c r="H269" s="481">
        <f ca="1">'Operating Statements'!H43/1000000</f>
        <v>-7.0995690543240526</v>
      </c>
      <c r="I269" s="481">
        <f>'Operating Statements'!I43/1000000</f>
        <v>0</v>
      </c>
      <c r="J269" s="481">
        <f>'Operating Statements'!J43/1000000</f>
        <v>0</v>
      </c>
      <c r="K269" s="481">
        <f>'Operating Statements'!K43/1000000</f>
        <v>0</v>
      </c>
      <c r="L269" s="481">
        <f>'Operating Statements'!L43/1000000</f>
        <v>0</v>
      </c>
      <c r="M269" s="481">
        <f>'Operating Statements'!M43/1000000</f>
        <v>0</v>
      </c>
      <c r="N269" s="481">
        <f>'Operating Statements'!N43/1000000</f>
        <v>0</v>
      </c>
      <c r="O269" s="481">
        <f>'Operating Statements'!O43/1000000</f>
        <v>0</v>
      </c>
      <c r="P269" s="481">
        <f>'Operating Statements'!P43/1000000</f>
        <v>0</v>
      </c>
      <c r="Q269" s="481">
        <f>'Operating Statements'!Q43/1000000</f>
        <v>0</v>
      </c>
      <c r="R269" s="481">
        <f>'Operating Statements'!R43/1000000</f>
        <v>0</v>
      </c>
      <c r="S269" s="481">
        <f>'Operating Statements'!S43/1000000</f>
        <v>0</v>
      </c>
      <c r="T269" s="481">
        <f>'Operating Statements'!T43/1000000</f>
        <v>0</v>
      </c>
      <c r="U269" s="481">
        <f>'Operating Statements'!U43/1000000</f>
        <v>0</v>
      </c>
      <c r="V269" s="480"/>
    </row>
    <row r="270" spans="1:22" s="375" customFormat="1">
      <c r="A270" s="375" t="str">
        <f>A50</f>
        <v>Baseline - Reactive Fines</v>
      </c>
      <c r="B270" s="481">
        <f>'Operating Statements'!B86/1000000</f>
        <v>68.589108055555556</v>
      </c>
      <c r="C270" s="481">
        <f ca="1">'Operating Statements'!C86/1000000</f>
        <v>63.729130518399998</v>
      </c>
      <c r="D270" s="481">
        <f ca="1">'Operating Statements'!D86/1000000</f>
        <v>74.06283617478401</v>
      </c>
      <c r="E270" s="481">
        <f ca="1">'Operating Statements'!E86/1000000</f>
        <v>76.88761393725585</v>
      </c>
      <c r="F270" s="481">
        <f ca="1">'Operating Statements'!F86/1000000</f>
        <v>79.195619426022802</v>
      </c>
      <c r="G270" s="481">
        <f ca="1">'Operating Statements'!G86/1000000</f>
        <v>82.753815792320637</v>
      </c>
      <c r="H270" s="481">
        <f ca="1">'Operating Statements'!H86/1000000</f>
        <v>79.061091735784885</v>
      </c>
      <c r="I270" s="481">
        <f ca="1">'Operating Statements'!I86/1000000</f>
        <v>89.322508037414323</v>
      </c>
      <c r="J270" s="481">
        <f ca="1">'Operating Statements'!J86/1000000</f>
        <v>92.694190069986618</v>
      </c>
      <c r="K270" s="481">
        <f ca="1">'Operating Statements'!K86/1000000</f>
        <v>94.693994608431552</v>
      </c>
      <c r="L270" s="481">
        <f ca="1">'Operating Statements'!L86/1000000</f>
        <v>98.572383795327909</v>
      </c>
      <c r="M270" s="481">
        <f ca="1">'Operating Statements'!M86/1000000</f>
        <v>98.223880492865177</v>
      </c>
      <c r="N270" s="481">
        <f ca="1">'Operating Statements'!N86/1000000</f>
        <v>106.75206764980601</v>
      </c>
      <c r="O270" s="481">
        <f ca="1">'Operating Statements'!O86/1000000</f>
        <v>111.03320848723531</v>
      </c>
      <c r="P270" s="481">
        <f ca="1">'Operating Statements'!P86/1000000</f>
        <v>111.7841121375541</v>
      </c>
      <c r="Q270" s="481">
        <f ca="1">'Operating Statements'!Q86/1000000</f>
        <v>116.35848012562207</v>
      </c>
      <c r="R270" s="481">
        <f ca="1">'Operating Statements'!R86/1000000</f>
        <v>121.08719364980625</v>
      </c>
      <c r="S270" s="481">
        <f ca="1">'Operating Statements'!S86/1000000</f>
        <v>125.97581095854258</v>
      </c>
      <c r="T270" s="481">
        <f ca="1">'Operating Statements'!T86/1000000</f>
        <v>131.02999963531803</v>
      </c>
      <c r="U270" s="481">
        <f ca="1">'Operating Statements'!U86/1000000</f>
        <v>136.25553378887182</v>
      </c>
      <c r="V270" s="480"/>
    </row>
    <row r="271" spans="1:22" s="375" customFormat="1">
      <c r="A271" s="719" t="s">
        <v>592</v>
      </c>
      <c r="B271" s="481">
        <f>'Operating Statements'!B87/1000000</f>
        <v>0</v>
      </c>
      <c r="C271" s="481">
        <f>'Operating Statements'!C87/1000000</f>
        <v>0</v>
      </c>
      <c r="D271" s="481">
        <f>'Operating Statements'!D87/1000000</f>
        <v>0</v>
      </c>
      <c r="E271" s="481">
        <f>'Operating Statements'!E87/1000000</f>
        <v>0</v>
      </c>
      <c r="F271" s="481">
        <f>'Operating Statements'!F87/1000000</f>
        <v>0</v>
      </c>
      <c r="G271" s="481">
        <f>'Operating Statements'!G87/1000000</f>
        <v>0</v>
      </c>
      <c r="H271" s="481">
        <f ca="1">'Operating Statements'!H87/1000000</f>
        <v>-7.0995690543240526</v>
      </c>
      <c r="I271" s="481">
        <f>'Operating Statements'!I87/1000000</f>
        <v>0</v>
      </c>
      <c r="J271" s="481">
        <f>'Operating Statements'!J87/1000000</f>
        <v>0</v>
      </c>
      <c r="K271" s="481">
        <f>'Operating Statements'!K87/1000000</f>
        <v>0</v>
      </c>
      <c r="L271" s="481">
        <f>'Operating Statements'!L87/1000000</f>
        <v>0</v>
      </c>
      <c r="M271" s="481">
        <f>'Operating Statements'!M87/1000000</f>
        <v>0</v>
      </c>
      <c r="N271" s="481">
        <f>'Operating Statements'!N87/1000000</f>
        <v>0</v>
      </c>
      <c r="O271" s="481">
        <f>'Operating Statements'!O87/1000000</f>
        <v>0</v>
      </c>
      <c r="P271" s="481">
        <f>'Operating Statements'!P87/1000000</f>
        <v>0</v>
      </c>
      <c r="Q271" s="481">
        <f>'Operating Statements'!Q87/1000000</f>
        <v>0</v>
      </c>
      <c r="R271" s="481">
        <f>'Operating Statements'!R87/1000000</f>
        <v>0</v>
      </c>
      <c r="S271" s="481">
        <f>'Operating Statements'!S87/1000000</f>
        <v>0</v>
      </c>
      <c r="T271" s="481">
        <f>'Operating Statements'!T87/1000000</f>
        <v>0</v>
      </c>
      <c r="U271" s="481">
        <f>'Operating Statements'!U87/1000000</f>
        <v>0</v>
      </c>
      <c r="V271" s="480"/>
    </row>
    <row r="272" spans="1:22" s="375" customFormat="1">
      <c r="A272" s="375" t="str">
        <f>A93</f>
        <v>Baseline - Offset Based Compliance</v>
      </c>
      <c r="B272" s="481">
        <f>'Operating Statements'!B129/1000000</f>
        <v>68.589108055555556</v>
      </c>
      <c r="C272" s="481">
        <f ca="1">'Operating Statements'!C129/1000000</f>
        <v>63.729130518399998</v>
      </c>
      <c r="D272" s="481">
        <f ca="1">'Operating Statements'!D129/1000000</f>
        <v>74.06283617478401</v>
      </c>
      <c r="E272" s="481">
        <f ca="1">'Operating Statements'!E129/1000000</f>
        <v>76.745435621403871</v>
      </c>
      <c r="F272" s="481">
        <f ca="1">'Operating Statements'!F129/1000000</f>
        <v>79.750413603327402</v>
      </c>
      <c r="G272" s="481">
        <f ca="1">'Operating Statements'!G129/1000000</f>
        <v>82.836243999216279</v>
      </c>
      <c r="H272" s="481">
        <f ca="1">'Operating Statements'!H129/1000000</f>
        <v>79.061091735784885</v>
      </c>
      <c r="I272" s="481">
        <f ca="1">'Operating Statements'!I129/1000000</f>
        <v>89.322508037414323</v>
      </c>
      <c r="J272" s="481">
        <f ca="1">'Operating Statements'!J129/1000000</f>
        <v>92.694190069986618</v>
      </c>
      <c r="K272" s="481">
        <f ca="1">'Operating Statements'!K129/1000000</f>
        <v>96.017108320302029</v>
      </c>
      <c r="L272" s="481">
        <f ca="1">'Operating Statements'!L129/1000000</f>
        <v>99.662008935055411</v>
      </c>
      <c r="M272" s="481">
        <f ca="1">'Operating Statements'!M129/1000000</f>
        <v>99.081156727497756</v>
      </c>
      <c r="N272" s="481">
        <f ca="1">'Operating Statements'!N129/1000000</f>
        <v>107.3732800451929</v>
      </c>
      <c r="O272" s="481">
        <f ca="1">'Operating Statements'!O129/1000000</f>
        <v>111.42516685614299</v>
      </c>
      <c r="P272" s="481">
        <f ca="1">'Operating Statements'!P129/1000000</f>
        <v>115.16104357895121</v>
      </c>
      <c r="Q272" s="481">
        <f ca="1">'Operating Statements'!Q129/1000000</f>
        <v>119.49945620209891</v>
      </c>
      <c r="R272" s="481">
        <f ca="1">'Operating Statements'!R129/1000000</f>
        <v>123.99334961347996</v>
      </c>
      <c r="S272" s="481">
        <f ca="1">'Operating Statements'!S129/1000000</f>
        <v>128.64831805843298</v>
      </c>
      <c r="T272" s="481">
        <f ca="1">'Operating Statements'!T129/1000000</f>
        <v>133.4700661031228</v>
      </c>
      <c r="U272" s="481">
        <f ca="1">'Operating Statements'!U129/1000000</f>
        <v>138.4644058497741</v>
      </c>
      <c r="V272" s="480"/>
    </row>
    <row r="273" spans="1:22" s="375" customFormat="1">
      <c r="A273" s="719" t="s">
        <v>592</v>
      </c>
      <c r="B273" s="481">
        <f>'Operating Statements'!B130/1000000</f>
        <v>0</v>
      </c>
      <c r="C273" s="481">
        <f>'Operating Statements'!C130/1000000</f>
        <v>0</v>
      </c>
      <c r="D273" s="481">
        <f>'Operating Statements'!D130/1000000</f>
        <v>0</v>
      </c>
      <c r="E273" s="481">
        <f>'Operating Statements'!E130/1000000</f>
        <v>0</v>
      </c>
      <c r="F273" s="481">
        <f>'Operating Statements'!F130/1000000</f>
        <v>0</v>
      </c>
      <c r="G273" s="481">
        <f>'Operating Statements'!G130/1000000</f>
        <v>0</v>
      </c>
      <c r="H273" s="481">
        <f ca="1">'Operating Statements'!H130/1000000</f>
        <v>-7.0995690543240526</v>
      </c>
      <c r="I273" s="481">
        <f>'Operating Statements'!I130/1000000</f>
        <v>0</v>
      </c>
      <c r="J273" s="481">
        <f>'Operating Statements'!J130/1000000</f>
        <v>0</v>
      </c>
      <c r="K273" s="481">
        <f>'Operating Statements'!K130/1000000</f>
        <v>0</v>
      </c>
      <c r="L273" s="481">
        <f>'Operating Statements'!L130/1000000</f>
        <v>0</v>
      </c>
      <c r="M273" s="481">
        <f>'Operating Statements'!M130/1000000</f>
        <v>0</v>
      </c>
      <c r="N273" s="481">
        <f>'Operating Statements'!N130/1000000</f>
        <v>0</v>
      </c>
      <c r="O273" s="481">
        <f>'Operating Statements'!O130/1000000</f>
        <v>0</v>
      </c>
      <c r="P273" s="481">
        <f>'Operating Statements'!P130/1000000</f>
        <v>0</v>
      </c>
      <c r="Q273" s="481">
        <f>'Operating Statements'!Q130/1000000</f>
        <v>0</v>
      </c>
      <c r="R273" s="481">
        <f>'Operating Statements'!R130/1000000</f>
        <v>0</v>
      </c>
      <c r="S273" s="481">
        <f>'Operating Statements'!S130/1000000</f>
        <v>0</v>
      </c>
      <c r="T273" s="481">
        <f>'Operating Statements'!T130/1000000</f>
        <v>0</v>
      </c>
      <c r="U273" s="481">
        <f>'Operating Statements'!U130/1000000</f>
        <v>0</v>
      </c>
      <c r="V273" s="480"/>
    </row>
    <row r="274" spans="1:22" s="375" customFormat="1">
      <c r="A274" s="375" t="str">
        <f>A289</f>
        <v>Alternative 1</v>
      </c>
      <c r="B274" s="481">
        <f>'Operating Statements'!B172/1000000</f>
        <v>68.048543845029243</v>
      </c>
      <c r="C274" s="481">
        <f>'Operating Statements'!C172/1000000</f>
        <v>69.889059036842113</v>
      </c>
      <c r="D274" s="481">
        <f>'Operating Statements'!D172/1000000</f>
        <v>71.227791179842114</v>
      </c>
      <c r="E274" s="481">
        <f>'Operating Statements'!E172/1000000</f>
        <v>77.21586228890142</v>
      </c>
      <c r="F274" s="481">
        <f>'Operating Statements'!F172/1000000</f>
        <v>75.754583877800911</v>
      </c>
      <c r="G274" s="481">
        <f>'Operating Statements'!G172/1000000</f>
        <v>83.058120195042108</v>
      </c>
      <c r="H274" s="481">
        <f>'Operating Statements'!H172/1000000</f>
        <v>86.206975576874157</v>
      </c>
      <c r="I274" s="481">
        <f>'Operating Statements'!I172/1000000</f>
        <v>59.84385738678062</v>
      </c>
      <c r="J274" s="481">
        <f>'Operating Statements'!J172/1000000</f>
        <v>95.075180141703044</v>
      </c>
      <c r="K274" s="481">
        <f>'Operating Statements'!K172/1000000</f>
        <v>98.621629288027222</v>
      </c>
      <c r="L274" s="481">
        <f>'Operating Statements'!L172/1000000</f>
        <v>102.18290341969913</v>
      </c>
      <c r="M274" s="481">
        <f>'Operating Statements'!M172/1000000</f>
        <v>105.98526970465353</v>
      </c>
      <c r="N274" s="481">
        <f>'Operating Statements'!N172/1000000</f>
        <v>109.92309561924488</v>
      </c>
      <c r="O274" s="481">
        <f>'Operating Statements'!O172/1000000</f>
        <v>114.00130965049227</v>
      </c>
      <c r="P274" s="481">
        <f>'Operating Statements'!P172/1000000</f>
        <v>118.08647315026312</v>
      </c>
      <c r="Q274" s="481">
        <f>'Operating Statements'!Q172/1000000</f>
        <v>122.39933377953997</v>
      </c>
      <c r="R274" s="481">
        <f>'Operating Statements'!R172/1000000</f>
        <v>126.83293315987382</v>
      </c>
      <c r="S274" s="481">
        <f>'Operating Statements'!S172/1000000</f>
        <v>131.52653630012762</v>
      </c>
      <c r="T274" s="481">
        <f>'Operating Statements'!T172/1000000</f>
        <v>136.39594153109113</v>
      </c>
      <c r="U274" s="481">
        <f>'Operating Statements'!U172/1000000</f>
        <v>141.43862928569598</v>
      </c>
      <c r="V274" s="480"/>
    </row>
    <row r="275" spans="1:22" s="375" customFormat="1">
      <c r="A275" s="719" t="s">
        <v>592</v>
      </c>
      <c r="B275" s="481">
        <f>'Operating Statements'!B173/1000000</f>
        <v>-0.42</v>
      </c>
      <c r="C275" s="481">
        <f>'Operating Statements'!C173/1000000</f>
        <v>-1.3817249999999999</v>
      </c>
      <c r="D275" s="481">
        <f>'Operating Statements'!D173/1000000</f>
        <v>0.17675212500000001</v>
      </c>
      <c r="E275" s="481">
        <f>'Operating Statements'!E173/1000000</f>
        <v>0.18293844937500001</v>
      </c>
      <c r="F275" s="481">
        <f>'Operating Statements'!F173/1000000</f>
        <v>-1.5319432058343745</v>
      </c>
      <c r="G275" s="481">
        <f>'Operating Statements'!G173/1000000</f>
        <v>0.19596824043173433</v>
      </c>
      <c r="H275" s="481">
        <f>'Operating Statements'!H173/1000000</f>
        <v>0.20282712884684501</v>
      </c>
      <c r="I275" s="481">
        <f>'Operating Statements'!I173/1000000</f>
        <v>0.20992607835648455</v>
      </c>
      <c r="J275" s="481">
        <f>'Operating Statements'!J173/1000000</f>
        <v>0.21727349109896149</v>
      </c>
      <c r="K275" s="481">
        <f>'Operating Statements'!K173/1000000</f>
        <v>0.22487806328742516</v>
      </c>
      <c r="L275" s="481">
        <f>'Operating Statements'!L173/1000000</f>
        <v>0.23274879550248501</v>
      </c>
      <c r="M275" s="481">
        <f>'Operating Statements'!M173/1000000</f>
        <v>0.24089500334507197</v>
      </c>
      <c r="N275" s="481">
        <f>'Operating Statements'!N173/1000000</f>
        <v>0.24932632846214947</v>
      </c>
      <c r="O275" s="481">
        <f>'Operating Statements'!O173/1000000</f>
        <v>0.25805274995832467</v>
      </c>
      <c r="P275" s="481">
        <f>'Operating Statements'!P173/1000000</f>
        <v>0.26708459620686603</v>
      </c>
      <c r="Q275" s="481">
        <f>'Operating Statements'!Q173/1000000</f>
        <v>0.2764325570741063</v>
      </c>
      <c r="R275" s="481">
        <f>'Operating Statements'!R173/1000000</f>
        <v>0.28610769657169999</v>
      </c>
      <c r="S275" s="481">
        <f>'Operating Statements'!S173/1000000</f>
        <v>0.29612146595170946</v>
      </c>
      <c r="T275" s="481">
        <f>'Operating Statements'!T173/1000000</f>
        <v>0.30648571726001927</v>
      </c>
      <c r="U275" s="481">
        <f>'Operating Statements'!U173/1000000</f>
        <v>0.31721271736411993</v>
      </c>
      <c r="V275" s="480"/>
    </row>
    <row r="276" spans="1:22" s="375" customFormat="1">
      <c r="A276" s="375" t="str">
        <f>A291</f>
        <v>Alternative 2</v>
      </c>
      <c r="B276" s="481">
        <f>'Operating Statements'!B215/1000000</f>
        <v>68.220476476608184</v>
      </c>
      <c r="C276" s="481">
        <f>'Operating Statements'!C215/1000000</f>
        <v>69.682059036842105</v>
      </c>
      <c r="D276" s="481">
        <f>'Operating Statements'!D215/1000000</f>
        <v>74.170963607210538</v>
      </c>
      <c r="E276" s="481">
        <f>'Operating Statements'!E215/1000000</f>
        <v>73.879129533210644</v>
      </c>
      <c r="F276" s="481">
        <f>'Operating Statements'!F215/1000000</f>
        <v>80.188722310554439</v>
      </c>
      <c r="G276" s="481">
        <f>'Operating Statements'!G215/1000000</f>
        <v>83.246098397181129</v>
      </c>
      <c r="H276" s="481">
        <f>'Operating Statements'!H215/1000000</f>
        <v>86.394581236196046</v>
      </c>
      <c r="I276" s="481">
        <f>'Operating Statements'!I215/1000000</f>
        <v>84.607357640475271</v>
      </c>
      <c r="J276" s="481">
        <f>'Operating Statements'!J215/1000000</f>
        <v>93.098928915893609</v>
      </c>
      <c r="K276" s="481">
        <f>'Operating Statements'!K215/1000000</f>
        <v>96.587726350861672</v>
      </c>
      <c r="L276" s="481">
        <f>'Operating Statements'!L215/1000000</f>
        <v>100.1765487087726</v>
      </c>
      <c r="M276" s="481">
        <f>'Operating Statements'!M215/1000000</f>
        <v>103.94174874524718</v>
      </c>
      <c r="N276" s="481">
        <f>'Operating Statements'!N215/1000000</f>
        <v>107.85660296665534</v>
      </c>
      <c r="O276" s="481">
        <f>'Operating Statements'!O215/1000000</f>
        <v>111.91156485811595</v>
      </c>
      <c r="P276" s="481">
        <f>'Operating Statements'!P215/1000000</f>
        <v>115.94566113551714</v>
      </c>
      <c r="Q276" s="481">
        <f>'Operating Statements'!Q215/1000000</f>
        <v>120.23792176048967</v>
      </c>
      <c r="R276" s="481">
        <f>'Operating Statements'!R215/1000000</f>
        <v>124.65076905039993</v>
      </c>
      <c r="S276" s="481">
        <f>'Operating Statements'!S215/1000000</f>
        <v>129.32346832656026</v>
      </c>
      <c r="T276" s="481">
        <f>'Operating Statements'!T215/1000000</f>
        <v>134.17181828710122</v>
      </c>
      <c r="U276" s="481">
        <f>'Operating Statements'!U215/1000000</f>
        <v>139.19329978907274</v>
      </c>
      <c r="V276" s="480"/>
    </row>
    <row r="277" spans="1:22" s="375" customFormat="1">
      <c r="A277" s="719" t="s">
        <v>592</v>
      </c>
      <c r="B277" s="481">
        <f>'Operating Statements'!B216/1000000</f>
        <v>-0.42</v>
      </c>
      <c r="C277" s="481">
        <f>'Operating Statements'!C216/1000000</f>
        <v>-1.3817249999999999</v>
      </c>
      <c r="D277" s="481">
        <f>'Operating Statements'!D216/1000000</f>
        <v>0.17675212500000001</v>
      </c>
      <c r="E277" s="481">
        <f>'Operating Statements'!E216/1000000</f>
        <v>0.18293844937500001</v>
      </c>
      <c r="F277" s="481">
        <f>'Operating Statements'!F216/1000000</f>
        <v>0.18934129510312497</v>
      </c>
      <c r="G277" s="481">
        <f>'Operating Statements'!G216/1000000</f>
        <v>0.19596824043173433</v>
      </c>
      <c r="H277" s="481">
        <f>'Operating Statements'!H216/1000000</f>
        <v>0.20282712884684501</v>
      </c>
      <c r="I277" s="481">
        <f>'Operating Statements'!I216/1000000</f>
        <v>0.20992607835648455</v>
      </c>
      <c r="J277" s="481">
        <f>'Operating Statements'!J216/1000000</f>
        <v>0.21727349109896149</v>
      </c>
      <c r="K277" s="481">
        <f>'Operating Statements'!K216/1000000</f>
        <v>0.22487806328742516</v>
      </c>
      <c r="L277" s="481">
        <f>'Operating Statements'!L216/1000000</f>
        <v>0.23274879550248501</v>
      </c>
      <c r="M277" s="481">
        <f>'Operating Statements'!M216/1000000</f>
        <v>0.24089500334507197</v>
      </c>
      <c r="N277" s="481">
        <f>'Operating Statements'!N216/1000000</f>
        <v>0.24932632846214947</v>
      </c>
      <c r="O277" s="481">
        <f>'Operating Statements'!O216/1000000</f>
        <v>0.25805274995832467</v>
      </c>
      <c r="P277" s="481">
        <f>'Operating Statements'!P216/1000000</f>
        <v>0.26708459620686603</v>
      </c>
      <c r="Q277" s="481">
        <f>'Operating Statements'!Q216/1000000</f>
        <v>0.2764325570741063</v>
      </c>
      <c r="R277" s="481">
        <f>'Operating Statements'!R216/1000000</f>
        <v>0.28610769657169999</v>
      </c>
      <c r="S277" s="481">
        <f>'Operating Statements'!S216/1000000</f>
        <v>0.29612146595170946</v>
      </c>
      <c r="T277" s="481">
        <f>'Operating Statements'!T216/1000000</f>
        <v>0.30648571726001927</v>
      </c>
      <c r="U277" s="481">
        <f>'Operating Statements'!U216/1000000</f>
        <v>0.31721271736411993</v>
      </c>
      <c r="V277" s="480"/>
    </row>
    <row r="278" spans="1:22" s="375" customFormat="1">
      <c r="A278" s="375" t="str">
        <f>A293</f>
        <v>Alternative 3</v>
      </c>
      <c r="B278" s="481">
        <f>'Operating Statements'!B257/1000000</f>
        <v>68.651609108187145</v>
      </c>
      <c r="C278" s="481">
        <f>'Operating Statements'!C257/1000000</f>
        <v>70.526965031578939</v>
      </c>
      <c r="D278" s="481">
        <f>'Operating Statements'!D257/1000000</f>
        <v>73.769482501894743</v>
      </c>
      <c r="E278" s="481">
        <f>'Operating Statements'!E257/1000000</f>
        <v>76.50849243161889</v>
      </c>
      <c r="F278" s="481">
        <f>'Operating Statements'!F257/1000000</f>
        <v>76.311048360348167</v>
      </c>
      <c r="G278" s="481">
        <f>'Operating Statements'!G257/1000000</f>
        <v>82.826274206247803</v>
      </c>
      <c r="H278" s="481">
        <f>'Operating Statements'!H257/1000000</f>
        <v>81.075335986592876</v>
      </c>
      <c r="I278" s="481">
        <f>'Operating Statements'!I257/1000000</f>
        <v>89.272261250619195</v>
      </c>
      <c r="J278" s="481">
        <f>'Operating Statements'!J257/1000000</f>
        <v>92.670004676809612</v>
      </c>
      <c r="K278" s="481">
        <f>'Operating Statements'!K257/1000000</f>
        <v>96.145085998673594</v>
      </c>
      <c r="L278" s="481">
        <f>'Operating Statements'!L257/1000000</f>
        <v>99.810389700038584</v>
      </c>
      <c r="M278" s="481">
        <f>'Operating Statements'!M257/1000000</f>
        <v>103.60712582683945</v>
      </c>
      <c r="N278" s="481">
        <f>'Operating Statements'!N257/1000000</f>
        <v>107.52326143478106</v>
      </c>
      <c r="O278" s="481">
        <f>'Operating Statements'!O257/1000000</f>
        <v>111.57488991092295</v>
      </c>
      <c r="P278" s="481">
        <f>'Operating Statements'!P257/1000000</f>
        <v>115.60225476800638</v>
      </c>
      <c r="Q278" s="481">
        <f>'Operating Statements'!Q257/1000000</f>
        <v>119.89173407544789</v>
      </c>
      <c r="R278" s="481">
        <f>'Operating Statements'!R257/1000000</f>
        <v>124.64866868827113</v>
      </c>
      <c r="S278" s="481">
        <f>'Operating Statements'!S257/1000000</f>
        <v>129.32346832656026</v>
      </c>
      <c r="T278" s="481">
        <f>'Operating Statements'!T257/1000000</f>
        <v>134.17181828710122</v>
      </c>
      <c r="U278" s="481">
        <f>'Operating Statements'!U257/1000000</f>
        <v>139.19329978907274</v>
      </c>
      <c r="V278" s="480"/>
    </row>
    <row r="279" spans="1:22" s="375" customFormat="1">
      <c r="A279" s="719" t="s">
        <v>592</v>
      </c>
      <c r="B279" s="481">
        <f>'Operating Statements'!B258/1000000</f>
        <v>0</v>
      </c>
      <c r="C279" s="481">
        <f>'Operating Statements'!C258/1000000</f>
        <v>0</v>
      </c>
      <c r="D279" s="481">
        <f>'Operating Statements'!D258/1000000</f>
        <v>0</v>
      </c>
      <c r="E279" s="481">
        <f>'Operating Statements'!E258/1000000</f>
        <v>0</v>
      </c>
      <c r="F279" s="481">
        <f>'Operating Statements'!F258/1000000</f>
        <v>0</v>
      </c>
      <c r="G279" s="481">
        <f>'Operating Statements'!G258/1000000</f>
        <v>0</v>
      </c>
      <c r="H279" s="481">
        <f>'Operating Statements'!H258/1000000</f>
        <v>0</v>
      </c>
      <c r="I279" s="481">
        <f>'Operating Statements'!I258/1000000</f>
        <v>0</v>
      </c>
      <c r="J279" s="481">
        <f>'Operating Statements'!J258/1000000</f>
        <v>0</v>
      </c>
      <c r="K279" s="481">
        <f>'Operating Statements'!K258/1000000</f>
        <v>0</v>
      </c>
      <c r="L279" s="481">
        <f>'Operating Statements'!L258/1000000</f>
        <v>0</v>
      </c>
      <c r="M279" s="481">
        <f>'Operating Statements'!M258/1000000</f>
        <v>0</v>
      </c>
      <c r="N279" s="481">
        <f>'Operating Statements'!N258/1000000</f>
        <v>0</v>
      </c>
      <c r="O279" s="481">
        <f>'Operating Statements'!O258/1000000</f>
        <v>0</v>
      </c>
      <c r="P279" s="481">
        <f>'Operating Statements'!P258/1000000</f>
        <v>0</v>
      </c>
      <c r="Q279" s="481">
        <f>'Operating Statements'!Q258/1000000</f>
        <v>0</v>
      </c>
      <c r="R279" s="481">
        <f>'Operating Statements'!R258/1000000</f>
        <v>0</v>
      </c>
      <c r="S279" s="481">
        <f>'Operating Statements'!S258/1000000</f>
        <v>0</v>
      </c>
      <c r="T279" s="481">
        <f>'Operating Statements'!T258/1000000</f>
        <v>0</v>
      </c>
      <c r="U279" s="481">
        <f>'Operating Statements'!U258/1000000</f>
        <v>0</v>
      </c>
      <c r="V279" s="480"/>
    </row>
    <row r="280" spans="1:22" s="375" customFormat="1"/>
    <row r="281" spans="1:22" s="375" customFormat="1">
      <c r="A281" s="375" t="s">
        <v>593</v>
      </c>
    </row>
    <row r="282" spans="1:22" s="375" customFormat="1">
      <c r="A282" s="375" t="s">
        <v>590</v>
      </c>
      <c r="B282" s="479">
        <f>Alternatives!B11</f>
        <v>2021</v>
      </c>
      <c r="C282" s="479">
        <f t="shared" ref="C282:V282" si="182">B282+1</f>
        <v>2022</v>
      </c>
      <c r="D282" s="479">
        <f t="shared" si="182"/>
        <v>2023</v>
      </c>
      <c r="E282" s="479">
        <f t="shared" si="182"/>
        <v>2024</v>
      </c>
      <c r="F282" s="479">
        <f t="shared" si="182"/>
        <v>2025</v>
      </c>
      <c r="G282" s="479">
        <f t="shared" si="182"/>
        <v>2026</v>
      </c>
      <c r="H282" s="479">
        <f t="shared" si="182"/>
        <v>2027</v>
      </c>
      <c r="I282" s="479">
        <f t="shared" si="182"/>
        <v>2028</v>
      </c>
      <c r="J282" s="479">
        <f t="shared" si="182"/>
        <v>2029</v>
      </c>
      <c r="K282" s="479">
        <f t="shared" si="182"/>
        <v>2030</v>
      </c>
      <c r="L282" s="479">
        <f t="shared" si="182"/>
        <v>2031</v>
      </c>
      <c r="M282" s="479">
        <f t="shared" si="182"/>
        <v>2032</v>
      </c>
      <c r="N282" s="479">
        <f t="shared" si="182"/>
        <v>2033</v>
      </c>
      <c r="O282" s="479">
        <f t="shared" si="182"/>
        <v>2034</v>
      </c>
      <c r="P282" s="479">
        <f t="shared" si="182"/>
        <v>2035</v>
      </c>
      <c r="Q282" s="479">
        <f t="shared" si="182"/>
        <v>2036</v>
      </c>
      <c r="R282" s="479">
        <f t="shared" si="182"/>
        <v>2037</v>
      </c>
      <c r="S282" s="479">
        <f t="shared" si="182"/>
        <v>2038</v>
      </c>
      <c r="T282" s="479">
        <f t="shared" si="182"/>
        <v>2039</v>
      </c>
      <c r="U282" s="479">
        <f t="shared" si="182"/>
        <v>2040</v>
      </c>
      <c r="V282" s="479">
        <f t="shared" si="182"/>
        <v>2041</v>
      </c>
    </row>
    <row r="283" spans="1:22" s="375" customFormat="1">
      <c r="A283" s="375" t="str">
        <f>A268</f>
        <v>Baseline Reactive (Cap Op St+IR DM)</v>
      </c>
      <c r="B283" s="481">
        <f>'Operating Statements'!B35/1000000</f>
        <v>49.405153055555559</v>
      </c>
      <c r="C283" s="481">
        <f ca="1">'Operating Statements'!C35/1000000</f>
        <v>58.394869481600004</v>
      </c>
      <c r="D283" s="481">
        <f ca="1">'Operating Statements'!D35/1000000</f>
        <v>52.335463825215996</v>
      </c>
      <c r="E283" s="481">
        <f ca="1">'Operating Statements'!E35/1000000</f>
        <v>53.934686062744156</v>
      </c>
      <c r="F283" s="481">
        <f ca="1">'Operating Statements'!F35/1000000</f>
        <v>55.586986027695602</v>
      </c>
      <c r="G283" s="481">
        <f ca="1">'Operating Statements'!G35/1000000</f>
        <v>57.294180253397755</v>
      </c>
      <c r="H283" s="481">
        <f ca="1">'Operating Statements'!H35/1000000</f>
        <v>65.98400826421512</v>
      </c>
      <c r="I283" s="481">
        <f ca="1">'Operating Statements'!I35/1000000</f>
        <v>60.799091962585671</v>
      </c>
      <c r="J283" s="481">
        <f ca="1">'Operating Statements'!J35/1000000</f>
        <v>62.681709930013383</v>
      </c>
      <c r="K283" s="481">
        <f ca="1">'Operating Statements'!K35/1000000</f>
        <v>64.627134045286851</v>
      </c>
      <c r="L283" s="481">
        <f ca="1">'Operating Statements'!L35/1000000</f>
        <v>66.6375275303905</v>
      </c>
      <c r="M283" s="481">
        <f ca="1">'Operating Statements'!M35/1000000</f>
        <v>73.071813504853225</v>
      </c>
      <c r="N283" s="481">
        <f ca="1">'Operating Statements'!N35/1000000</f>
        <v>70.838769483912387</v>
      </c>
      <c r="O283" s="481">
        <f ca="1">'Operating Statements'!O35/1000000</f>
        <v>73.057516966483092</v>
      </c>
      <c r="P283" s="481">
        <f ca="1">'Operating Statements'!P35/1000000</f>
        <v>75.350621636164277</v>
      </c>
      <c r="Q283" s="481">
        <f ca="1">'Operating Statements'!Q35/1000000</f>
        <v>77.720641968096345</v>
      </c>
      <c r="R283" s="481">
        <f ca="1">'Operating Statements'!R35/1000000</f>
        <v>80.170216763912151</v>
      </c>
      <c r="S283" s="481">
        <f ca="1">'Operating Statements'!S35/1000000</f>
        <v>82.702087775175812</v>
      </c>
      <c r="T283" s="481">
        <f ca="1">'Operating Statements'!T35/1000000</f>
        <v>85.319087418400358</v>
      </c>
      <c r="U283" s="481">
        <f ca="1">'Operating Statements'!U35/1000000</f>
        <v>88.024141584846589</v>
      </c>
      <c r="V283" s="481"/>
    </row>
    <row r="284" spans="1:22" s="375" customFormat="1">
      <c r="A284" s="719" t="s">
        <v>592</v>
      </c>
      <c r="B284" s="481">
        <f>'Operating Statements'!B36/1000000</f>
        <v>0</v>
      </c>
      <c r="C284" s="481">
        <f>'Operating Statements'!C36/1000000</f>
        <v>0</v>
      </c>
      <c r="D284" s="481">
        <f>'Operating Statements'!D36/1000000</f>
        <v>0</v>
      </c>
      <c r="E284" s="481">
        <f>'Operating Statements'!E36/1000000</f>
        <v>0</v>
      </c>
      <c r="F284" s="481">
        <f>'Operating Statements'!F36/1000000</f>
        <v>0</v>
      </c>
      <c r="G284" s="481">
        <f>'Operating Statements'!G36/1000000</f>
        <v>0</v>
      </c>
      <c r="H284" s="481">
        <f ca="1">'Operating Statements'!H36/1000000</f>
        <v>7.0995690543240526</v>
      </c>
      <c r="I284" s="481">
        <f>'Operating Statements'!I36/1000000</f>
        <v>0</v>
      </c>
      <c r="J284" s="481">
        <f>'Operating Statements'!J36/1000000</f>
        <v>0</v>
      </c>
      <c r="K284" s="481">
        <f>'Operating Statements'!K36/1000000</f>
        <v>0</v>
      </c>
      <c r="L284" s="481">
        <f>'Operating Statements'!L36/1000000</f>
        <v>0</v>
      </c>
      <c r="M284" s="481">
        <f>'Operating Statements'!M36/1000000</f>
        <v>0</v>
      </c>
      <c r="N284" s="481">
        <f>'Operating Statements'!N36/1000000</f>
        <v>0</v>
      </c>
      <c r="O284" s="481">
        <f>'Operating Statements'!O36/1000000</f>
        <v>0</v>
      </c>
      <c r="P284" s="481">
        <f>'Operating Statements'!P36/1000000</f>
        <v>0</v>
      </c>
      <c r="Q284" s="481">
        <f>'Operating Statements'!Q36/1000000</f>
        <v>0</v>
      </c>
      <c r="R284" s="481">
        <f>'Operating Statements'!R36/1000000</f>
        <v>0</v>
      </c>
      <c r="S284" s="481">
        <f>'Operating Statements'!S36/1000000</f>
        <v>0</v>
      </c>
      <c r="T284" s="481">
        <f>'Operating Statements'!T36/1000000</f>
        <v>0</v>
      </c>
      <c r="U284" s="481">
        <f>'Operating Statements'!U36/1000000</f>
        <v>0</v>
      </c>
      <c r="V284" s="481"/>
    </row>
    <row r="285" spans="1:22" s="375" customFormat="1">
      <c r="A285" s="375" t="str">
        <f>A270</f>
        <v>Baseline - Reactive Fines</v>
      </c>
      <c r="B285" s="481">
        <f>'Operating Statements'!B79/1000000</f>
        <v>49.405153055555559</v>
      </c>
      <c r="C285" s="481">
        <f ca="1">'Operating Statements'!C79/1000000</f>
        <v>58.394869481600004</v>
      </c>
      <c r="D285" s="481">
        <f ca="1">'Operating Statements'!D79/1000000</f>
        <v>52.335463825215996</v>
      </c>
      <c r="E285" s="481">
        <f ca="1">'Operating Statements'!E79/1000000</f>
        <v>53.934686062744156</v>
      </c>
      <c r="F285" s="481">
        <f ca="1">'Operating Statements'!F79/1000000</f>
        <v>56.205480573977212</v>
      </c>
      <c r="G285" s="481">
        <f ca="1">'Operating Statements'!G79/1000000</f>
        <v>57.386284207679353</v>
      </c>
      <c r="H285" s="481">
        <f ca="1">'Operating Statements'!H79/1000000</f>
        <v>65.98400826421512</v>
      </c>
      <c r="I285" s="481">
        <f ca="1">'Operating Statements'!I79/1000000</f>
        <v>60.799091962585671</v>
      </c>
      <c r="J285" s="481">
        <f ca="1">'Operating Statements'!J79/1000000</f>
        <v>62.681709930013383</v>
      </c>
      <c r="K285" s="481">
        <f ca="1">'Operating Statements'!K79/1000000</f>
        <v>66.120005391568455</v>
      </c>
      <c r="L285" s="481">
        <f ca="1">'Operating Statements'!L79/1000000</f>
        <v>67.870116204672101</v>
      </c>
      <c r="M285" s="481">
        <f ca="1">'Operating Statements'!M79/1000000</f>
        <v>74.044119507134823</v>
      </c>
      <c r="N285" s="481">
        <f ca="1">'Operating Statements'!N79/1000000</f>
        <v>71.545232350193999</v>
      </c>
      <c r="O285" s="481">
        <f ca="1">'Operating Statements'!O79/1000000</f>
        <v>73.504491512764687</v>
      </c>
      <c r="P285" s="481">
        <f ca="1">'Operating Statements'!P79/1000000</f>
        <v>79.212387862445894</v>
      </c>
      <c r="Q285" s="481">
        <f ca="1">'Operating Statements'!Q79/1000000</f>
        <v>81.322919874377931</v>
      </c>
      <c r="R285" s="481">
        <f ca="1">'Operating Statements'!R79/1000000</f>
        <v>83.513006350193749</v>
      </c>
      <c r="S285" s="481">
        <f ca="1">'Operating Statements'!S79/1000000</f>
        <v>85.785389041457421</v>
      </c>
      <c r="T285" s="481">
        <f ca="1">'Operating Statements'!T79/1000000</f>
        <v>88.142900364681964</v>
      </c>
      <c r="U285" s="481">
        <f ca="1">'Operating Statements'!U79/1000000</f>
        <v>90.588466211128193</v>
      </c>
      <c r="V285" s="481"/>
    </row>
    <row r="286" spans="1:22" s="375" customFormat="1">
      <c r="A286" s="719" t="s">
        <v>592</v>
      </c>
      <c r="B286" s="481">
        <f>'Operating Statements'!B80/1000000</f>
        <v>0</v>
      </c>
      <c r="C286" s="481">
        <f>'Operating Statements'!C80/1000000</f>
        <v>0</v>
      </c>
      <c r="D286" s="481">
        <f>'Operating Statements'!D80/1000000</f>
        <v>0</v>
      </c>
      <c r="E286" s="481">
        <f>'Operating Statements'!E80/1000000</f>
        <v>0</v>
      </c>
      <c r="F286" s="481">
        <f>'Operating Statements'!F80/1000000</f>
        <v>0</v>
      </c>
      <c r="G286" s="481">
        <f>'Operating Statements'!G80/1000000</f>
        <v>0</v>
      </c>
      <c r="H286" s="481">
        <f ca="1">'Operating Statements'!H80/1000000</f>
        <v>7.0995690543240526</v>
      </c>
      <c r="I286" s="481">
        <f>'Operating Statements'!I80/1000000</f>
        <v>0</v>
      </c>
      <c r="J286" s="481">
        <f>'Operating Statements'!J80/1000000</f>
        <v>0</v>
      </c>
      <c r="K286" s="481">
        <f>'Operating Statements'!K80/1000000</f>
        <v>0</v>
      </c>
      <c r="L286" s="481">
        <f>'Operating Statements'!L80/1000000</f>
        <v>0</v>
      </c>
      <c r="M286" s="481">
        <f>'Operating Statements'!M80/1000000</f>
        <v>0</v>
      </c>
      <c r="N286" s="481">
        <f>'Operating Statements'!N80/1000000</f>
        <v>0</v>
      </c>
      <c r="O286" s="481">
        <f>'Operating Statements'!O80/1000000</f>
        <v>0</v>
      </c>
      <c r="P286" s="481">
        <f>'Operating Statements'!P80/1000000</f>
        <v>0</v>
      </c>
      <c r="Q286" s="481">
        <f>'Operating Statements'!Q80/1000000</f>
        <v>0</v>
      </c>
      <c r="R286" s="481">
        <f>'Operating Statements'!R80/1000000</f>
        <v>0</v>
      </c>
      <c r="S286" s="481">
        <f>'Operating Statements'!S80/1000000</f>
        <v>0</v>
      </c>
      <c r="T286" s="481">
        <f>'Operating Statements'!T80/1000000</f>
        <v>0</v>
      </c>
      <c r="U286" s="481">
        <f>'Operating Statements'!U80/1000000</f>
        <v>0</v>
      </c>
      <c r="V286" s="481"/>
    </row>
    <row r="287" spans="1:22" s="375" customFormat="1">
      <c r="A287" s="375" t="str">
        <f>A272</f>
        <v>Baseline - Offset Based Compliance</v>
      </c>
      <c r="B287" s="481">
        <f>'Operating Statements'!B122/1000000</f>
        <v>49.405153055555559</v>
      </c>
      <c r="C287" s="481">
        <f ca="1">'Operating Statements'!C122/1000000</f>
        <v>58.394869481600004</v>
      </c>
      <c r="D287" s="481">
        <f ca="1">'Operating Statements'!D122/1000000</f>
        <v>52.335463825215996</v>
      </c>
      <c r="E287" s="481">
        <f ca="1">'Operating Statements'!E122/1000000</f>
        <v>54.07686437859612</v>
      </c>
      <c r="F287" s="481">
        <f ca="1">'Operating Statements'!F122/1000000</f>
        <v>55.65068639667259</v>
      </c>
      <c r="G287" s="481">
        <f ca="1">'Operating Statements'!G122/1000000</f>
        <v>57.303856000783725</v>
      </c>
      <c r="H287" s="481">
        <f ca="1">'Operating Statements'!H122/1000000</f>
        <v>65.98400826421512</v>
      </c>
      <c r="I287" s="481">
        <f ca="1">'Operating Statements'!I122/1000000</f>
        <v>60.799091962585671</v>
      </c>
      <c r="J287" s="481">
        <f ca="1">'Operating Statements'!J122/1000000</f>
        <v>62.681709930013383</v>
      </c>
      <c r="K287" s="481">
        <f ca="1">'Operating Statements'!K122/1000000</f>
        <v>64.796891679697978</v>
      </c>
      <c r="L287" s="481">
        <f ca="1">'Operating Statements'!L122/1000000</f>
        <v>66.780491064944584</v>
      </c>
      <c r="M287" s="481">
        <f ca="1">'Operating Statements'!M122/1000000</f>
        <v>73.186843272502244</v>
      </c>
      <c r="N287" s="481">
        <f ca="1">'Operating Statements'!N122/1000000</f>
        <v>70.924019954807108</v>
      </c>
      <c r="O287" s="481">
        <f ca="1">'Operating Statements'!O122/1000000</f>
        <v>73.112533143857007</v>
      </c>
      <c r="P287" s="481">
        <f ca="1">'Operating Statements'!P122/1000000</f>
        <v>75.835456421048789</v>
      </c>
      <c r="Q287" s="481">
        <f ca="1">'Operating Statements'!Q122/1000000</f>
        <v>78.181943797901098</v>
      </c>
      <c r="R287" s="481">
        <f ca="1">'Operating Statements'!R122/1000000</f>
        <v>80.606850386520037</v>
      </c>
      <c r="S287" s="481">
        <f ca="1">'Operating Statements'!S122/1000000</f>
        <v>83.112881941567039</v>
      </c>
      <c r="T287" s="481">
        <f ca="1">'Operating Statements'!T122/1000000</f>
        <v>85.702833896877181</v>
      </c>
      <c r="U287" s="481">
        <f ca="1">'Operating Statements'!U122/1000000</f>
        <v>88.379594150225913</v>
      </c>
      <c r="V287" s="481"/>
    </row>
    <row r="288" spans="1:22" s="375" customFormat="1">
      <c r="A288" s="719" t="s">
        <v>592</v>
      </c>
      <c r="B288" s="481">
        <f>'Operating Statements'!B123/1000000</f>
        <v>0</v>
      </c>
      <c r="C288" s="481">
        <f>'Operating Statements'!C123/1000000</f>
        <v>0</v>
      </c>
      <c r="D288" s="481">
        <f>'Operating Statements'!D123/1000000</f>
        <v>0</v>
      </c>
      <c r="E288" s="481">
        <f>'Operating Statements'!E123/1000000</f>
        <v>0</v>
      </c>
      <c r="F288" s="481">
        <f>'Operating Statements'!F123/1000000</f>
        <v>0</v>
      </c>
      <c r="G288" s="481">
        <f>'Operating Statements'!G123/1000000</f>
        <v>0</v>
      </c>
      <c r="H288" s="481">
        <f ca="1">'Operating Statements'!H123/1000000</f>
        <v>7.0995690543240526</v>
      </c>
      <c r="I288" s="481">
        <f>'Operating Statements'!I123/1000000</f>
        <v>0</v>
      </c>
      <c r="J288" s="481">
        <f>'Operating Statements'!J123/1000000</f>
        <v>0</v>
      </c>
      <c r="K288" s="481">
        <f>'Operating Statements'!K123/1000000</f>
        <v>0</v>
      </c>
      <c r="L288" s="481">
        <f>'Operating Statements'!L123/1000000</f>
        <v>0</v>
      </c>
      <c r="M288" s="481">
        <f>'Operating Statements'!M123/1000000</f>
        <v>0</v>
      </c>
      <c r="N288" s="481">
        <f>'Operating Statements'!N123/1000000</f>
        <v>0</v>
      </c>
      <c r="O288" s="481">
        <f>'Operating Statements'!O123/1000000</f>
        <v>0</v>
      </c>
      <c r="P288" s="481">
        <f>'Operating Statements'!P123/1000000</f>
        <v>0</v>
      </c>
      <c r="Q288" s="481">
        <f>'Operating Statements'!Q123/1000000</f>
        <v>0</v>
      </c>
      <c r="R288" s="481">
        <f>'Operating Statements'!R123/1000000</f>
        <v>0</v>
      </c>
      <c r="S288" s="481">
        <f>'Operating Statements'!S123/1000000</f>
        <v>0</v>
      </c>
      <c r="T288" s="481">
        <f>'Operating Statements'!T123/1000000</f>
        <v>0</v>
      </c>
      <c r="U288" s="481">
        <f>'Operating Statements'!U123/1000000</f>
        <v>0</v>
      </c>
      <c r="V288" s="481"/>
    </row>
    <row r="289" spans="1:25" s="375" customFormat="1">
      <c r="A289" s="375" t="s">
        <v>23</v>
      </c>
      <c r="B289" s="481">
        <f>'Operating Statements'!B165/1000000</f>
        <v>49.945717266081871</v>
      </c>
      <c r="C289" s="481">
        <f>'Operating Statements'!C165/1000000</f>
        <v>52.234940963157889</v>
      </c>
      <c r="D289" s="481">
        <f>'Operating Statements'!D165/1000000</f>
        <v>55.170508820157892</v>
      </c>
      <c r="E289" s="481">
        <f>'Operating Statements'!E165/1000000</f>
        <v>53.606437711098579</v>
      </c>
      <c r="F289" s="481">
        <f>'Operating Statements'!F165/1000000</f>
        <v>59.646516122199088</v>
      </c>
      <c r="G289" s="481">
        <f>'Operating Statements'!G165/1000000</f>
        <v>57.081979804957903</v>
      </c>
      <c r="H289" s="481">
        <f>'Operating Statements'!H165/1000000</f>
        <v>58.838124423125848</v>
      </c>
      <c r="I289" s="481">
        <f>'Operating Statements'!I165/1000000</f>
        <v>90.277742613219374</v>
      </c>
      <c r="J289" s="481">
        <f>'Operating Statements'!J165/1000000</f>
        <v>60.300719858296965</v>
      </c>
      <c r="K289" s="481">
        <f>'Operating Statements'!K165/1000000</f>
        <v>62.192370711972771</v>
      </c>
      <c r="L289" s="481">
        <f>'Operating Statements'!L165/1000000</f>
        <v>64.25959658030088</v>
      </c>
      <c r="M289" s="481">
        <f>'Operating Statements'!M165/1000000</f>
        <v>66.282730295346468</v>
      </c>
      <c r="N289" s="481">
        <f>'Operating Statements'!N165/1000000</f>
        <v>68.374204380755131</v>
      </c>
      <c r="O289" s="481">
        <f>'Operating Statements'!O165/1000000</f>
        <v>70.536390349507712</v>
      </c>
      <c r="P289" s="481">
        <f>'Operating Statements'!P165/1000000</f>
        <v>72.91002684973688</v>
      </c>
      <c r="Q289" s="481">
        <f>'Operating Statements'!Q165/1000000</f>
        <v>75.282066220460024</v>
      </c>
      <c r="R289" s="481">
        <f>'Operating Statements'!R165/1000000</f>
        <v>77.767266840126183</v>
      </c>
      <c r="S289" s="481">
        <f>'Operating Statements'!S165/1000000</f>
        <v>80.234663699872371</v>
      </c>
      <c r="T289" s="481">
        <f>'Operating Statements'!T165/1000000</f>
        <v>82.776958468908873</v>
      </c>
      <c r="U289" s="481">
        <f>'Operating Statements'!U165/1000000</f>
        <v>85.405370714304027</v>
      </c>
      <c r="V289" s="481"/>
    </row>
    <row r="290" spans="1:25" s="375" customFormat="1">
      <c r="A290" s="719" t="s">
        <v>592</v>
      </c>
      <c r="B290" s="481">
        <f>'Operating Statements'!B166/1000000</f>
        <v>0.42</v>
      </c>
      <c r="C290" s="481">
        <f>'Operating Statements'!C166/1000000</f>
        <v>1.3817249999999999</v>
      </c>
      <c r="D290" s="481">
        <f>'Operating Statements'!D166/1000000</f>
        <v>-0.17675212500000001</v>
      </c>
      <c r="E290" s="481">
        <f>'Operating Statements'!E166/1000000</f>
        <v>-0.18293844937500001</v>
      </c>
      <c r="F290" s="481">
        <f>'Operating Statements'!F166/1000000</f>
        <v>1.5319432058343745</v>
      </c>
      <c r="G290" s="481">
        <f>'Operating Statements'!G166/1000000</f>
        <v>-0.19596824043173433</v>
      </c>
      <c r="H290" s="481">
        <f>'Operating Statements'!H166/1000000</f>
        <v>-0.20282712884684501</v>
      </c>
      <c r="I290" s="481">
        <f>'Operating Statements'!I166/1000000</f>
        <v>-0.20992607835648455</v>
      </c>
      <c r="J290" s="481">
        <f>'Operating Statements'!J166/1000000</f>
        <v>-0.21727349109896149</v>
      </c>
      <c r="K290" s="481">
        <f>'Operating Statements'!K166/1000000</f>
        <v>-0.22487806328742516</v>
      </c>
      <c r="L290" s="481">
        <f>'Operating Statements'!L166/1000000</f>
        <v>-0.23274879550248501</v>
      </c>
      <c r="M290" s="481">
        <f>'Operating Statements'!M166/1000000</f>
        <v>-0.24089500334507197</v>
      </c>
      <c r="N290" s="481">
        <f>'Operating Statements'!N166/1000000</f>
        <v>-0.24932632846214947</v>
      </c>
      <c r="O290" s="481">
        <f>'Operating Statements'!O166/1000000</f>
        <v>-0.25805274995832467</v>
      </c>
      <c r="P290" s="481">
        <f>'Operating Statements'!P166/1000000</f>
        <v>-0.26708459620686603</v>
      </c>
      <c r="Q290" s="481">
        <f>'Operating Statements'!Q166/1000000</f>
        <v>-0.2764325570741063</v>
      </c>
      <c r="R290" s="481">
        <f>'Operating Statements'!R166/1000000</f>
        <v>-0.28610769657169999</v>
      </c>
      <c r="S290" s="481">
        <f>'Operating Statements'!S166/1000000</f>
        <v>-0.29612146595170946</v>
      </c>
      <c r="T290" s="481">
        <f>'Operating Statements'!T166/1000000</f>
        <v>-0.30648571726001927</v>
      </c>
      <c r="U290" s="481">
        <f>'Operating Statements'!U166/1000000</f>
        <v>-0.31721271736411993</v>
      </c>
      <c r="V290" s="481"/>
    </row>
    <row r="291" spans="1:25" s="375" customFormat="1">
      <c r="A291" s="375" t="s">
        <v>25</v>
      </c>
      <c r="B291" s="481">
        <f>'Operating Statements'!B208/1000000</f>
        <v>49.773784634502924</v>
      </c>
      <c r="C291" s="481">
        <f>'Operating Statements'!C208/1000000</f>
        <v>52.44194096315789</v>
      </c>
      <c r="D291" s="481">
        <f>'Operating Statements'!D208/1000000</f>
        <v>52.227336392789468</v>
      </c>
      <c r="E291" s="481">
        <f>'Operating Statements'!E208/1000000</f>
        <v>56.943170466789347</v>
      </c>
      <c r="F291" s="481">
        <f>'Operating Statements'!F208/1000000</f>
        <v>55.21237768944556</v>
      </c>
      <c r="G291" s="481">
        <f>'Operating Statements'!G208/1000000</f>
        <v>56.894001602818868</v>
      </c>
      <c r="H291" s="481">
        <f>'Operating Statements'!H208/1000000</f>
        <v>58.650518763803952</v>
      </c>
      <c r="I291" s="481">
        <f>'Operating Statements'!I208/1000000</f>
        <v>65.514242359524729</v>
      </c>
      <c r="J291" s="481">
        <f>'Operating Statements'!J208/1000000</f>
        <v>62.276971084106378</v>
      </c>
      <c r="K291" s="481">
        <f>'Operating Statements'!K208/1000000</f>
        <v>64.226273649138335</v>
      </c>
      <c r="L291" s="481">
        <f>'Operating Statements'!L208/1000000</f>
        <v>66.265951291227395</v>
      </c>
      <c r="M291" s="481">
        <f>'Operating Statements'!M208/1000000</f>
        <v>68.326251254752819</v>
      </c>
      <c r="N291" s="481">
        <f>'Operating Statements'!N208/1000000</f>
        <v>70.440697033344662</v>
      </c>
      <c r="O291" s="481">
        <f>'Operating Statements'!O208/1000000</f>
        <v>72.626135141884049</v>
      </c>
      <c r="P291" s="481">
        <f>'Operating Statements'!P208/1000000</f>
        <v>75.05083886448287</v>
      </c>
      <c r="Q291" s="481">
        <f>'Operating Statements'!Q208/1000000</f>
        <v>77.443478239510327</v>
      </c>
      <c r="R291" s="481">
        <f>'Operating Statements'!R208/1000000</f>
        <v>79.949430949600071</v>
      </c>
      <c r="S291" s="481">
        <f>'Operating Statements'!S208/1000000</f>
        <v>82.437731673439743</v>
      </c>
      <c r="T291" s="481">
        <f>'Operating Statements'!T208/1000000</f>
        <v>85.001081712898795</v>
      </c>
      <c r="U291" s="481">
        <f>'Operating Statements'!U208/1000000</f>
        <v>87.650700210927226</v>
      </c>
      <c r="V291" s="481"/>
    </row>
    <row r="292" spans="1:25" s="375" customFormat="1">
      <c r="A292" s="719" t="s">
        <v>592</v>
      </c>
      <c r="B292" s="481">
        <f>'Operating Statements'!B209/1000000</f>
        <v>0.42</v>
      </c>
      <c r="C292" s="481">
        <f>'Operating Statements'!C209/1000000</f>
        <v>1.3817249999999999</v>
      </c>
      <c r="D292" s="481">
        <f>'Operating Statements'!D209/1000000</f>
        <v>-0.17675212500000001</v>
      </c>
      <c r="E292" s="481">
        <f>'Operating Statements'!E209/1000000</f>
        <v>-0.18293844937500001</v>
      </c>
      <c r="F292" s="481">
        <f>'Operating Statements'!F209/1000000</f>
        <v>-0.18934129510312497</v>
      </c>
      <c r="G292" s="481">
        <f>'Operating Statements'!G209/1000000</f>
        <v>-0.19596824043173433</v>
      </c>
      <c r="H292" s="481">
        <f>'Operating Statements'!H209/1000000</f>
        <v>-0.20282712884684501</v>
      </c>
      <c r="I292" s="481">
        <f>'Operating Statements'!I209/1000000</f>
        <v>-0.20992607835648455</v>
      </c>
      <c r="J292" s="481">
        <f>'Operating Statements'!J209/1000000</f>
        <v>-0.21727349109896149</v>
      </c>
      <c r="K292" s="481">
        <f>'Operating Statements'!K209/1000000</f>
        <v>-0.22487806328742516</v>
      </c>
      <c r="L292" s="481">
        <f>'Operating Statements'!L209/1000000</f>
        <v>-0.23274879550248501</v>
      </c>
      <c r="M292" s="481">
        <f>'Operating Statements'!M209/1000000</f>
        <v>-0.24089500334507197</v>
      </c>
      <c r="N292" s="481">
        <f>'Operating Statements'!N209/1000000</f>
        <v>-0.24932632846214947</v>
      </c>
      <c r="O292" s="481">
        <f>'Operating Statements'!O209/1000000</f>
        <v>-0.25805274995832467</v>
      </c>
      <c r="P292" s="481">
        <f>'Operating Statements'!P209/1000000</f>
        <v>-0.26708459620686603</v>
      </c>
      <c r="Q292" s="481">
        <f>'Operating Statements'!Q209/1000000</f>
        <v>-0.2764325570741063</v>
      </c>
      <c r="R292" s="481">
        <f>'Operating Statements'!R209/1000000</f>
        <v>-0.28610769657169999</v>
      </c>
      <c r="S292" s="481">
        <f>'Operating Statements'!S209/1000000</f>
        <v>-0.29612146595170946</v>
      </c>
      <c r="T292" s="481">
        <f>'Operating Statements'!T209/1000000</f>
        <v>-0.30648571726001927</v>
      </c>
      <c r="U292" s="481">
        <f>'Operating Statements'!U209/1000000</f>
        <v>-0.31721271736411993</v>
      </c>
      <c r="V292" s="481"/>
    </row>
    <row r="293" spans="1:25" s="375" customFormat="1">
      <c r="A293" s="375" t="s">
        <v>27</v>
      </c>
      <c r="B293" s="481">
        <f>'Operating Statements'!B250/1000000</f>
        <v>49.342652002923984</v>
      </c>
      <c r="C293" s="481">
        <f>'Operating Statements'!C250/1000000</f>
        <v>51.597034968421056</v>
      </c>
      <c r="D293" s="481">
        <f>'Operating Statements'!D250/1000000</f>
        <v>52.628817498105256</v>
      </c>
      <c r="E293" s="481">
        <f>'Operating Statements'!E250/1000000</f>
        <v>54.313807568381115</v>
      </c>
      <c r="F293" s="481">
        <f>'Operating Statements'!F250/1000000</f>
        <v>59.09005163965184</v>
      </c>
      <c r="G293" s="481">
        <f>'Operating Statements'!G250/1000000</f>
        <v>57.313825793752187</v>
      </c>
      <c r="H293" s="481">
        <f>'Operating Statements'!H250/1000000</f>
        <v>63.969764013407129</v>
      </c>
      <c r="I293" s="481">
        <f>'Operating Statements'!I250/1000000</f>
        <v>60.849338749380813</v>
      </c>
      <c r="J293" s="481">
        <f>'Operating Statements'!J250/1000000</f>
        <v>62.705895323190383</v>
      </c>
      <c r="K293" s="481">
        <f>'Operating Statements'!K250/1000000</f>
        <v>64.668914001326414</v>
      </c>
      <c r="L293" s="481">
        <f>'Operating Statements'!L250/1000000</f>
        <v>66.632110299961411</v>
      </c>
      <c r="M293" s="481">
        <f>'Operating Statements'!M250/1000000</f>
        <v>68.660874173160551</v>
      </c>
      <c r="N293" s="481">
        <f>'Operating Statements'!N250/1000000</f>
        <v>70.774038565218945</v>
      </c>
      <c r="O293" s="481">
        <f>'Operating Statements'!O250/1000000</f>
        <v>72.962810089077053</v>
      </c>
      <c r="P293" s="481">
        <f>'Operating Statements'!P250/1000000</f>
        <v>75.394245231993636</v>
      </c>
      <c r="Q293" s="481">
        <f>'Operating Statements'!Q250/1000000</f>
        <v>77.789665924552111</v>
      </c>
      <c r="R293" s="481">
        <f>'Operating Statements'!R250/1000000</f>
        <v>79.951531311728871</v>
      </c>
      <c r="S293" s="481">
        <f>'Operating Statements'!S250/1000000</f>
        <v>82.437731673439743</v>
      </c>
      <c r="T293" s="481">
        <f>'Operating Statements'!T250/1000000</f>
        <v>85.001081712898795</v>
      </c>
      <c r="U293" s="481">
        <f>'Operating Statements'!U250/1000000</f>
        <v>87.650700210927226</v>
      </c>
      <c r="V293" s="481"/>
    </row>
    <row r="294" spans="1:25" s="375" customFormat="1">
      <c r="A294" s="719" t="s">
        <v>592</v>
      </c>
      <c r="C294" s="482"/>
      <c r="D294" s="482"/>
      <c r="E294" s="482"/>
      <c r="F294" s="482"/>
      <c r="G294" s="482"/>
      <c r="H294" s="482"/>
      <c r="I294" s="482"/>
      <c r="J294" s="482"/>
      <c r="K294" s="482"/>
      <c r="L294" s="482"/>
      <c r="Q294" s="483"/>
      <c r="R294" s="483"/>
      <c r="S294" s="483"/>
      <c r="T294" s="483"/>
      <c r="U294" s="483"/>
      <c r="V294" s="483"/>
      <c r="W294" s="483"/>
      <c r="X294" s="483"/>
      <c r="Y294" s="483"/>
    </row>
    <row r="295" spans="1:25" s="375" customFormat="1"/>
    <row r="296" spans="1:25" s="375" customFormat="1">
      <c r="B296" s="572"/>
      <c r="D296" s="572"/>
    </row>
    <row r="297" spans="1:25" s="375" customFormat="1">
      <c r="A297" s="375" t="s">
        <v>594</v>
      </c>
      <c r="B297" s="375" t="s">
        <v>595</v>
      </c>
      <c r="C297" s="375" t="s">
        <v>596</v>
      </c>
      <c r="D297" s="375" t="s">
        <v>597</v>
      </c>
      <c r="E297" s="375" t="s">
        <v>598</v>
      </c>
      <c r="F297" s="375" t="s">
        <v>599</v>
      </c>
      <c r="G297" s="375" t="s">
        <v>596</v>
      </c>
      <c r="H297" s="375" t="s">
        <v>600</v>
      </c>
      <c r="I297" s="375" t="s">
        <v>598</v>
      </c>
      <c r="J297" s="375" t="s">
        <v>601</v>
      </c>
      <c r="K297" s="375" t="s">
        <v>596</v>
      </c>
      <c r="L297" s="375" t="s">
        <v>602</v>
      </c>
      <c r="M297" s="375" t="s">
        <v>598</v>
      </c>
      <c r="N297" s="375" t="s">
        <v>603</v>
      </c>
      <c r="O297" s="375" t="s">
        <v>596</v>
      </c>
      <c r="P297" s="375" t="s">
        <v>604</v>
      </c>
      <c r="Q297" s="375" t="s">
        <v>598</v>
      </c>
    </row>
    <row r="298" spans="1:25" s="375" customFormat="1">
      <c r="A298" s="375" t="str">
        <f>A268</f>
        <v>Baseline Reactive (Cap Op St+IR DM)</v>
      </c>
      <c r="B298" s="486">
        <f ca="1">NPV('Building Info &amp; Assumptions'!$E$63,'Operating Statements'!B268:F268)-D298</f>
        <v>312.8974996290745</v>
      </c>
      <c r="D298" s="486">
        <f>NPV('Building Info &amp; Assumptions'!$E$63,'Operating Statements'!B269:F269)</f>
        <v>0</v>
      </c>
      <c r="F298" s="486">
        <f ca="1">NPV('Building Info &amp; Assumptions'!$E$63,'Operating Statements'!B268:K268)-H298</f>
        <v>615.21005608940936</v>
      </c>
      <c r="H298" s="486">
        <f ca="1">NPV('Building Info &amp; Assumptions'!$E$63,'Operating Statements'!B269:K269)</f>
        <v>-5.0455311788776651</v>
      </c>
      <c r="J298" s="486">
        <f ca="1">NPV('Building Info &amp; Assumptions'!$E$63,'Operating Statements'!B268:P268)-L298</f>
        <v>897.72037052395717</v>
      </c>
      <c r="L298" s="486">
        <f ca="1">NPV('Building Info &amp; Assumptions'!$E$63,'Operating Statements'!B269:P269)</f>
        <v>-5.0455311788776651</v>
      </c>
      <c r="N298" s="486">
        <f ca="1">NPV('Building Info &amp; Assumptions'!$E$63,'Operating Statements'!B268:U268)-P298</f>
        <v>1165.8811358841208</v>
      </c>
      <c r="P298" s="486">
        <f ca="1">NPV('Building Info &amp; Assumptions'!$E$63,'Operating Statements'!B269:U269)</f>
        <v>-5.0455311788776651</v>
      </c>
    </row>
    <row r="299" spans="1:25" s="375" customFormat="1">
      <c r="A299" s="375" t="str">
        <f>A270</f>
        <v>Baseline - Reactive Fines</v>
      </c>
      <c r="B299" s="486">
        <f ca="1">NPV('Building Info &amp; Assumptions'!$E$63,'Operating Statements'!B270:F270)-D299</f>
        <v>312.41289296824476</v>
      </c>
      <c r="C299" s="486">
        <f ca="1">B299-$B$298</f>
        <v>-0.48460666082974058</v>
      </c>
      <c r="D299" s="486">
        <f>NPV('Building Info &amp; Assumptions'!$E$63,'Operating Statements'!B271:F271)</f>
        <v>0</v>
      </c>
      <c r="E299" s="486">
        <f>D299-$D$298</f>
        <v>0</v>
      </c>
      <c r="F299" s="486">
        <f ca="1">NPV('Building Info &amp; Assumptions'!$E$63,'Operating Statements'!B270:K270)-H299</f>
        <v>613.74022653449026</v>
      </c>
      <c r="G299" s="486">
        <f ca="1">F299-$F$298</f>
        <v>-1.4698295549191016</v>
      </c>
      <c r="H299" s="486">
        <f ca="1">NPV('Building Info &amp; Assumptions'!$E$63,'Operating Statements'!B271:K271)</f>
        <v>-5.0455311788776651</v>
      </c>
      <c r="I299" s="486">
        <f ca="1">H299-$H$298</f>
        <v>0</v>
      </c>
      <c r="J299" s="486">
        <f ca="1">NPV('Building Info &amp; Assumptions'!$E$63,'Operating Statements'!B270:P270)-L299</f>
        <v>892.53047509100361</v>
      </c>
      <c r="K299" s="486">
        <f ca="1">J299-$J$298</f>
        <v>-5.1898954329535627</v>
      </c>
      <c r="L299" s="486">
        <f ca="1">NPV('Building Info &amp; Assumptions'!$E$63,'Operating Statements'!B271:P271)</f>
        <v>-5.0455311788776651</v>
      </c>
      <c r="M299" s="486">
        <f ca="1">L299-$L$298</f>
        <v>0</v>
      </c>
      <c r="N299" s="486">
        <f ca="1">NPV('Building Info &amp; Assumptions'!$E$63,'Operating Statements'!B270:U270)-P299</f>
        <v>1154.2174263982665</v>
      </c>
      <c r="O299" s="486">
        <f ca="1">N299-$N$298</f>
        <v>-11.66370948585427</v>
      </c>
      <c r="P299" s="486">
        <f ca="1">NPV('Building Info &amp; Assumptions'!$E$63,'Operating Statements'!B271:U271)</f>
        <v>-5.0455311788776651</v>
      </c>
      <c r="Q299" s="486">
        <f ca="1">P299-$P$298</f>
        <v>0</v>
      </c>
    </row>
    <row r="300" spans="1:25" s="375" customFormat="1">
      <c r="A300" s="375" t="str">
        <f>A272</f>
        <v>Baseline - Offset Based Compliance</v>
      </c>
      <c r="B300" s="486">
        <f ca="1">NPV('Building Info &amp; Assumptions'!$E$63,'Operating Statements'!B272:F272)-D300</f>
        <v>312.73061827085405</v>
      </c>
      <c r="C300" s="486">
        <f ca="1">B300-$B$298</f>
        <v>-0.16688135822045069</v>
      </c>
      <c r="D300" s="486">
        <f>NPV('Building Info &amp; Assumptions'!$E$63,'Operating Statements'!B273:F273)</f>
        <v>0</v>
      </c>
      <c r="E300" s="486">
        <f t="shared" ref="E300:E303" si="183">D300-$D$298</f>
        <v>0</v>
      </c>
      <c r="F300" s="486">
        <f ca="1">NPV('Building Info &amp; Assumptions'!$E$63,'Operating Statements'!B272:K272)-H300</f>
        <v>614.93173807786081</v>
      </c>
      <c r="G300" s="486">
        <f ca="1">F300-$F$298</f>
        <v>-0.27831801154854929</v>
      </c>
      <c r="H300" s="486">
        <f ca="1">NPV('Building Info &amp; Assumptions'!$E$63,'Operating Statements'!B273:K273)</f>
        <v>-5.0455311788776651</v>
      </c>
      <c r="I300" s="486">
        <f t="shared" ref="I300:I303" ca="1" si="184">H300-$H$298</f>
        <v>0</v>
      </c>
      <c r="J300" s="486">
        <f ca="1">NPV('Building Info &amp; Assumptions'!$E$63,'Operating Statements'!B272:P272)-L300</f>
        <v>896.98820094159441</v>
      </c>
      <c r="K300" s="486">
        <f ca="1">J300-$J$298</f>
        <v>-0.73216958236275786</v>
      </c>
      <c r="L300" s="486">
        <f ca="1">NPV('Building Info &amp; Assumptions'!$E$63,'Operating Statements'!B273:P273)</f>
        <v>-5.0455311788776651</v>
      </c>
      <c r="M300" s="486">
        <f t="shared" ref="M300:M303" ca="1" si="185">L300-$L$298</f>
        <v>0</v>
      </c>
      <c r="N300" s="486">
        <f ca="1">NPV('Building Info &amp; Assumptions'!$E$63,'Operating Statements'!B272:U272)-P300</f>
        <v>1164.2906155081605</v>
      </c>
      <c r="O300" s="486">
        <f ca="1">N300-$N$298</f>
        <v>-1.5905203759602955</v>
      </c>
      <c r="P300" s="486">
        <f ca="1">NPV('Building Info &amp; Assumptions'!$E$63,'Operating Statements'!B273:U273)</f>
        <v>-5.0455311788776651</v>
      </c>
      <c r="Q300" s="486">
        <f t="shared" ref="Q300:Q303" ca="1" si="186">P300-$P$298</f>
        <v>0</v>
      </c>
    </row>
    <row r="301" spans="1:25" s="375" customFormat="1">
      <c r="A301" s="375" t="s">
        <v>23</v>
      </c>
      <c r="B301" s="486">
        <f>NPV('Building Info &amp; Assumptions'!$E$63,'Operating Statements'!B274:F274)-D301</f>
        <v>315.16059138853444</v>
      </c>
      <c r="C301" s="486">
        <f ca="1">B301-$B$298</f>
        <v>2.2630917594599396</v>
      </c>
      <c r="D301" s="486">
        <f>NPV('Building Info &amp; Assumptions'!$E$63,'Operating Statements'!B275:F275)</f>
        <v>-2.5503938472065202</v>
      </c>
      <c r="E301" s="486">
        <f t="shared" si="183"/>
        <v>-2.5503938472065202</v>
      </c>
      <c r="F301" s="486">
        <f>NPV('Building Info &amp; Assumptions'!$E$63,'Operating Statements'!B274:K274)-H301</f>
        <v>600.03106169627279</v>
      </c>
      <c r="G301" s="486">
        <f ca="1">F301-$F$298</f>
        <v>-15.178994393136577</v>
      </c>
      <c r="H301" s="486">
        <f>NPV('Building Info &amp; Assumptions'!$E$63,'Operating Statements'!B275:K275)</f>
        <v>-1.8398155891783485</v>
      </c>
      <c r="I301" s="486">
        <f t="shared" ca="1" si="184"/>
        <v>3.2057155896993166</v>
      </c>
      <c r="J301" s="486">
        <f>NPV('Building Info &amp; Assumptions'!$E$63,'Operating Statements'!B274:P274)-L301</f>
        <v>890.80518599124639</v>
      </c>
      <c r="K301" s="486">
        <f ca="1">J301-$J$298</f>
        <v>-6.9151845327107822</v>
      </c>
      <c r="L301" s="486">
        <f>NPV('Building Info &amp; Assumptions'!$E$63,'Operating Statements'!B275:P275)</f>
        <v>-1.1785633303136667</v>
      </c>
      <c r="M301" s="486">
        <f t="shared" ca="1" si="185"/>
        <v>3.8669678485639984</v>
      </c>
      <c r="N301" s="486">
        <f>NPV('Building Info &amp; Assumptions'!$E$63,'Operating Statements'!B274:U274)-P301</f>
        <v>1163.5343993982056</v>
      </c>
      <c r="O301" s="486">
        <f ca="1">N301-$N$298</f>
        <v>-2.346736485915244</v>
      </c>
      <c r="P301" s="486">
        <f>NPV('Building Info &amp; Assumptions'!$E$63,'Operating Statements'!B275:U275)</f>
        <v>-0.5632130224291988</v>
      </c>
      <c r="Q301" s="486">
        <f t="shared" ca="1" si="186"/>
        <v>4.482318156448466</v>
      </c>
    </row>
    <row r="302" spans="1:25" s="375" customFormat="1">
      <c r="A302" s="375" t="s">
        <v>25</v>
      </c>
      <c r="B302" s="486">
        <f>NPV('Building Info &amp; Assumptions'!$E$63,'Operating Statements'!B276:F276)-D302</f>
        <v>317.05945839718294</v>
      </c>
      <c r="C302" s="486">
        <f ca="1">B302-$B$298</f>
        <v>4.161958768108434</v>
      </c>
      <c r="D302" s="486">
        <f>NPV('Building Info &amp; Assumptions'!$E$63,'Operating Statements'!B277:F277)</f>
        <v>-1.2017224007853866</v>
      </c>
      <c r="E302" s="486">
        <f t="shared" si="183"/>
        <v>-1.2017224007853866</v>
      </c>
      <c r="F302" s="486">
        <f>NPV('Building Info &amp; Assumptions'!$E$63,'Operating Statements'!B276:K276)-H302</f>
        <v>616.44189135601982</v>
      </c>
      <c r="G302" s="486">
        <f ca="1">F302-$F$298</f>
        <v>1.2318352666104602</v>
      </c>
      <c r="H302" s="486">
        <f>NPV('Building Info &amp; Assumptions'!$E$63,'Operating Statements'!B277:K277)</f>
        <v>-0.49114414275721519</v>
      </c>
      <c r="I302" s="486">
        <f t="shared" ca="1" si="184"/>
        <v>4.5543870361204499</v>
      </c>
      <c r="J302" s="486">
        <f>NPV('Building Info &amp; Assumptions'!$E$63,'Operating Statements'!B276:P276)-L302</f>
        <v>901.72389718784621</v>
      </c>
      <c r="K302" s="486">
        <f ca="1">J302-$J$298</f>
        <v>4.0035266638890334</v>
      </c>
      <c r="L302" s="486">
        <f>NPV('Building Info &amp; Assumptions'!$E$63,'Operating Statements'!B277:P277)</f>
        <v>0.17010811610746673</v>
      </c>
      <c r="M302" s="486">
        <f t="shared" ca="1" si="185"/>
        <v>5.2156392949851318</v>
      </c>
      <c r="N302" s="486">
        <f>NPV('Building Info &amp; Assumptions'!$E$63,'Operating Statements'!B276:U276)-P302</f>
        <v>1169.8690494601281</v>
      </c>
      <c r="O302" s="486">
        <f ca="1">N302-$N$298</f>
        <v>3.9879135760072586</v>
      </c>
      <c r="P302" s="486">
        <f>NPV('Building Info &amp; Assumptions'!$E$63,'Operating Statements'!B277:U277)</f>
        <v>0.78545842399193444</v>
      </c>
      <c r="Q302" s="486">
        <f t="shared" ca="1" si="186"/>
        <v>5.8309896028695993</v>
      </c>
    </row>
    <row r="303" spans="1:25" s="375" customFormat="1">
      <c r="A303" s="375" t="s">
        <v>27</v>
      </c>
      <c r="B303" s="486">
        <f>NPV('Building Info &amp; Assumptions'!$E$63,'Operating Statements'!B278:F278)-D303</f>
        <v>315.8128030311704</v>
      </c>
      <c r="C303" s="486">
        <f ca="1">B303-$B$298</f>
        <v>2.9153034020959012</v>
      </c>
      <c r="D303" s="486">
        <f>NPV('Building Info &amp; Assumptions'!$E$63,'Operating Statements'!B279:F279)</f>
        <v>0</v>
      </c>
      <c r="E303" s="486">
        <f t="shared" si="183"/>
        <v>0</v>
      </c>
      <c r="F303" s="486">
        <f>NPV('Building Info &amp; Assumptions'!$E$63,'Operating Statements'!B278:K278)-H303</f>
        <v>614.42140589936366</v>
      </c>
      <c r="G303" s="486">
        <f ca="1">F303-$F$298</f>
        <v>-0.78865019004570058</v>
      </c>
      <c r="H303" s="486">
        <f>NPV('Building Info &amp; Assumptions'!$E$63,'Operating Statements'!B279:K279)</f>
        <v>0</v>
      </c>
      <c r="I303" s="486">
        <f t="shared" ca="1" si="184"/>
        <v>5.0455311788776651</v>
      </c>
      <c r="J303" s="486">
        <f>NPV('Building Info &amp; Assumptions'!$E$63,'Operating Statements'!B278:P278)-L303</f>
        <v>899.45224164700699</v>
      </c>
      <c r="K303" s="486">
        <f ca="1">J303-$J$298</f>
        <v>1.7318711230498138</v>
      </c>
      <c r="L303" s="486">
        <f>NPV('Building Info &amp; Assumptions'!$E$63,'Operating Statements'!B279:P279)</f>
        <v>0</v>
      </c>
      <c r="M303" s="486">
        <f t="shared" ca="1" si="185"/>
        <v>5.0455311788776651</v>
      </c>
      <c r="N303" s="486">
        <f>NPV('Building Info &amp; Assumptions'!$E$63,'Operating Statements'!B278:U278)-P303</f>
        <v>1168.0532352788448</v>
      </c>
      <c r="O303" s="486">
        <f ca="1">N303-$N$298</f>
        <v>2.1720993947240004</v>
      </c>
      <c r="P303" s="486">
        <f>NPV('Building Info &amp; Assumptions'!$E$63,'Operating Statements'!B279:U279)</f>
        <v>0</v>
      </c>
      <c r="Q303" s="486">
        <f t="shared" ca="1" si="186"/>
        <v>5.0455311788776651</v>
      </c>
    </row>
    <row r="304" spans="1:25" s="375" customFormat="1">
      <c r="B304" s="720"/>
      <c r="C304" s="486"/>
      <c r="D304" s="720"/>
      <c r="E304" s="486"/>
      <c r="F304" s="486"/>
      <c r="G304" s="486"/>
      <c r="H304" s="486"/>
      <c r="I304" s="486"/>
      <c r="K304" s="486"/>
      <c r="L304" s="486"/>
      <c r="M304" s="486"/>
      <c r="N304" s="486"/>
      <c r="P304" s="484"/>
      <c r="Q304" s="484"/>
      <c r="R304" s="598"/>
      <c r="S304" s="598"/>
      <c r="U304" s="485"/>
      <c r="V304" s="483"/>
      <c r="W304" s="483"/>
    </row>
    <row r="305" spans="1:23" s="375" customFormat="1">
      <c r="B305" s="486" t="s">
        <v>605</v>
      </c>
      <c r="C305" s="486" t="s">
        <v>606</v>
      </c>
      <c r="D305" s="486" t="s">
        <v>607</v>
      </c>
      <c r="E305" s="486" t="s">
        <v>606</v>
      </c>
      <c r="F305" s="486" t="s">
        <v>608</v>
      </c>
      <c r="G305" s="486" t="s">
        <v>606</v>
      </c>
      <c r="H305" s="486" t="s">
        <v>609</v>
      </c>
      <c r="I305" s="486" t="s">
        <v>606</v>
      </c>
      <c r="K305" s="486"/>
      <c r="L305" s="486"/>
      <c r="M305" s="375" t="s">
        <v>610</v>
      </c>
      <c r="O305" s="375" t="s">
        <v>611</v>
      </c>
      <c r="P305" s="375" t="s">
        <v>612</v>
      </c>
      <c r="R305" s="375" t="s">
        <v>613</v>
      </c>
      <c r="T305" s="375" t="s">
        <v>611</v>
      </c>
      <c r="U305" s="375" t="s">
        <v>612</v>
      </c>
    </row>
    <row r="306" spans="1:23" s="375" customFormat="1">
      <c r="A306" s="375" t="str">
        <f>A298</f>
        <v>Baseline Reactive (Cap Op St+IR DM)</v>
      </c>
      <c r="B306" s="486">
        <f ca="1">NPV('Building Info &amp; Assumptions'!$E$63,'Operating Statements'!B268:F268)</f>
        <v>312.8974996290745</v>
      </c>
      <c r="C306" s="486"/>
      <c r="D306" s="486">
        <f ca="1">NPV('Building Info &amp; Assumptions'!$E$63,'Operating Statements'!B268:K268)</f>
        <v>610.16452491053167</v>
      </c>
      <c r="E306" s="486"/>
      <c r="F306" s="486">
        <f ca="1">NPV('Building Info &amp; Assumptions'!$E$63,'Operating Statements'!B268:P268)</f>
        <v>892.67483934507948</v>
      </c>
      <c r="G306" s="486"/>
      <c r="H306" s="486">
        <f ca="1">NPV('Building Info &amp; Assumptions'!$E$63,'Operating Statements'!B268:U268)</f>
        <v>1160.8356047052432</v>
      </c>
      <c r="I306" s="486"/>
      <c r="K306" s="486"/>
      <c r="L306" s="486"/>
      <c r="M306" s="486">
        <f ca="1">IF(Alternatives!$B$10=5,B298,IF(Alternatives!$B$10=10,F298,IF(Alternatives!$B$10=15,J298,N298)))</f>
        <v>1165.8811358841208</v>
      </c>
      <c r="N306" s="375" t="s">
        <v>614</v>
      </c>
      <c r="O306" s="486" t="str">
        <f t="shared" ref="O306:O311" ca="1" si="187">IF(X479="Yes","",M306)</f>
        <v/>
      </c>
      <c r="P306" s="486">
        <f t="shared" ref="P306:P311" ca="1" si="188">IF(X479="No","",M306)</f>
        <v>1165.8811358841208</v>
      </c>
      <c r="R306" s="486">
        <f ca="1">IF(Alternatives!$B$10=5,D298,IF(Alternatives!$B$10=10,H298,IF(Alternatives!$B$10=15,L298,P298)))</f>
        <v>-5.0455311788776651</v>
      </c>
      <c r="S306" s="375" t="s">
        <v>614</v>
      </c>
      <c r="T306" s="486" t="str">
        <f t="shared" ref="T306:T311" ca="1" si="189">IF(X479="Yes","",R306)</f>
        <v/>
      </c>
      <c r="U306" s="486">
        <f t="shared" ref="U306:U311" ca="1" si="190">IF(X479="No","",R306)</f>
        <v>-5.0455311788776651</v>
      </c>
      <c r="V306" s="375" t="s">
        <v>615</v>
      </c>
    </row>
    <row r="307" spans="1:23" s="375" customFormat="1">
      <c r="A307" s="375" t="str">
        <f t="shared" ref="A307:A311" si="191">A299</f>
        <v>Baseline - Reactive Fines</v>
      </c>
      <c r="B307" s="486">
        <f ca="1">NPV('Building Info &amp; Assumptions'!$E$63,'Operating Statements'!B270:F270)</f>
        <v>312.41289296824476</v>
      </c>
      <c r="C307" s="486">
        <f ca="1">B307-$B$306</f>
        <v>-0.48460666082974058</v>
      </c>
      <c r="D307" s="486">
        <f ca="1">NPV('Building Info &amp; Assumptions'!$E$63,'Operating Statements'!B270:K270)</f>
        <v>608.69469535561257</v>
      </c>
      <c r="E307" s="486">
        <f ca="1">D307-$D$306</f>
        <v>-1.4698295549191016</v>
      </c>
      <c r="F307" s="486">
        <f ca="1">NPV('Building Info &amp; Assumptions'!$E$63,'Operating Statements'!B270:P270)</f>
        <v>887.48494391212591</v>
      </c>
      <c r="G307" s="486">
        <f ca="1">F307-$F$306</f>
        <v>-5.1898954329535627</v>
      </c>
      <c r="H307" s="486">
        <f ca="1">NPV('Building Info &amp; Assumptions'!$E$63,'Operating Statements'!B270:U270)</f>
        <v>1149.1718952193889</v>
      </c>
      <c r="I307" s="486">
        <f ca="1">H307-$H$306</f>
        <v>-11.66370948585427</v>
      </c>
      <c r="K307" s="486"/>
      <c r="L307" s="486"/>
      <c r="M307" s="486">
        <f ca="1">IF(Alternatives!$B$10=5,B299,IF(Alternatives!$B$10=10,F299,IF(Alternatives!$B$10=15,J299,N299)))</f>
        <v>1154.2174263982665</v>
      </c>
      <c r="N307" s="486">
        <f ca="1">M307-$M$306</f>
        <v>-11.66370948585427</v>
      </c>
      <c r="O307" s="486" t="str">
        <f t="shared" ca="1" si="187"/>
        <v/>
      </c>
      <c r="P307" s="486">
        <f t="shared" ca="1" si="188"/>
        <v>1154.2174263982665</v>
      </c>
      <c r="R307" s="486">
        <f ca="1">IF(Alternatives!$B$10=5,D299,IF(Alternatives!$B$10=10,H299,IF(Alternatives!$B$10=15,L299,P299)))</f>
        <v>-5.0455311788776651</v>
      </c>
      <c r="S307" s="486">
        <f ca="1">R307-$R$306</f>
        <v>0</v>
      </c>
      <c r="T307" s="486" t="str">
        <f t="shared" ca="1" si="189"/>
        <v/>
      </c>
      <c r="U307" s="486">
        <f t="shared" ca="1" si="190"/>
        <v>-5.0455311788776651</v>
      </c>
      <c r="V307" s="720">
        <f ca="1">N307+S307</f>
        <v>-11.66370948585427</v>
      </c>
    </row>
    <row r="308" spans="1:23" s="375" customFormat="1">
      <c r="A308" s="375" t="str">
        <f t="shared" si="191"/>
        <v>Baseline - Offset Based Compliance</v>
      </c>
      <c r="B308" s="486">
        <f ca="1">NPV('Building Info &amp; Assumptions'!$E$63,'Operating Statements'!B272:F272)</f>
        <v>312.73061827085405</v>
      </c>
      <c r="C308" s="486">
        <f t="shared" ref="C308:C311" ca="1" si="192">B308-$B$306</f>
        <v>-0.16688135822045069</v>
      </c>
      <c r="D308" s="486">
        <f ca="1">NPV('Building Info &amp; Assumptions'!$E$63,'Operating Statements'!B272:K272)</f>
        <v>609.88620689898312</v>
      </c>
      <c r="E308" s="486">
        <f t="shared" ref="E308:E311" ca="1" si="193">D308-$D$306</f>
        <v>-0.27831801154854929</v>
      </c>
      <c r="F308" s="486">
        <f ca="1">NPV('Building Info &amp; Assumptions'!$E$63,'Operating Statements'!B272:P272)</f>
        <v>891.94266976271672</v>
      </c>
      <c r="G308" s="486">
        <f t="shared" ref="G308:G311" ca="1" si="194">F308-$F$306</f>
        <v>-0.73216958236275786</v>
      </c>
      <c r="H308" s="486">
        <f ca="1">NPV('Building Info &amp; Assumptions'!$E$63,'Operating Statements'!B272:U272)</f>
        <v>1159.2450843292829</v>
      </c>
      <c r="I308" s="486">
        <f t="shared" ref="I308:I311" ca="1" si="195">H308-$H$306</f>
        <v>-1.5905203759602955</v>
      </c>
      <c r="K308" s="486"/>
      <c r="L308" s="486"/>
      <c r="M308" s="486">
        <f ca="1">IF(Alternatives!$B$10=5,B300,IF(Alternatives!$B$10=10,F300,IF(Alternatives!$B$10=15,J300,N300)))</f>
        <v>1164.2906155081605</v>
      </c>
      <c r="N308" s="486">
        <f ca="1">M308-$M$306</f>
        <v>-1.5905203759602955</v>
      </c>
      <c r="O308" s="486">
        <f t="shared" ca="1" si="187"/>
        <v>1164.2906155081605</v>
      </c>
      <c r="P308" s="486" t="str">
        <f t="shared" ca="1" si="188"/>
        <v/>
      </c>
      <c r="R308" s="486">
        <f ca="1">IF(Alternatives!$B$10=5,D300,IF(Alternatives!$B$10=10,H300,IF(Alternatives!$B$10=15,L300,P300)))</f>
        <v>-5.0455311788776651</v>
      </c>
      <c r="S308" s="486">
        <f ca="1">R308-$R$306</f>
        <v>0</v>
      </c>
      <c r="T308" s="486">
        <f t="shared" ca="1" si="189"/>
        <v>-5.0455311788776651</v>
      </c>
      <c r="U308" s="486" t="str">
        <f t="shared" ca="1" si="190"/>
        <v/>
      </c>
      <c r="V308" s="720">
        <f t="shared" ref="V308:V311" ca="1" si="196">N308+S308</f>
        <v>-1.5905203759602955</v>
      </c>
    </row>
    <row r="309" spans="1:23" s="375" customFormat="1">
      <c r="A309" s="375" t="str">
        <f t="shared" si="191"/>
        <v>Alternative 1</v>
      </c>
      <c r="B309" s="486">
        <f>NPV('Building Info &amp; Assumptions'!$E$63,'Operating Statements'!B274:F274)</f>
        <v>312.61019754132792</v>
      </c>
      <c r="C309" s="486">
        <f t="shared" ca="1" si="192"/>
        <v>-0.28730208774658195</v>
      </c>
      <c r="D309" s="486">
        <f>NPV('Building Info &amp; Assumptions'!$E$63,'Operating Statements'!B274:K274)</f>
        <v>598.19124610709446</v>
      </c>
      <c r="E309" s="486">
        <f t="shared" ca="1" si="193"/>
        <v>-11.973278803437211</v>
      </c>
      <c r="F309" s="486">
        <f>NPV('Building Info &amp; Assumptions'!$E$63,'Operating Statements'!B274:P274)</f>
        <v>889.62662266093275</v>
      </c>
      <c r="G309" s="486">
        <f t="shared" ca="1" si="194"/>
        <v>-3.0482166841467233</v>
      </c>
      <c r="H309" s="486">
        <f>NPV('Building Info &amp; Assumptions'!$E$63,'Operating Statements'!B274:U274)</f>
        <v>1162.9711863757764</v>
      </c>
      <c r="I309" s="486">
        <f t="shared" ca="1" si="195"/>
        <v>2.1355816705331563</v>
      </c>
      <c r="K309" s="486"/>
      <c r="L309" s="486"/>
      <c r="M309" s="486">
        <f>IF(Alternatives!$B$10=5,B301,IF(Alternatives!$B$10=10,F301,IF(Alternatives!$B$10=15,J301,N301)))</f>
        <v>1163.5343993982056</v>
      </c>
      <c r="N309" s="486">
        <f ca="1">M309-$M$306</f>
        <v>-2.346736485915244</v>
      </c>
      <c r="O309" s="486">
        <f t="shared" si="187"/>
        <v>1163.5343993982056</v>
      </c>
      <c r="P309" s="486" t="str">
        <f t="shared" si="188"/>
        <v/>
      </c>
      <c r="R309" s="486">
        <f>IF(Alternatives!$B$10=5,D301,IF(Alternatives!$B$10=10,H301,IF(Alternatives!$B$10=15,L301,P301)))</f>
        <v>-0.5632130224291988</v>
      </c>
      <c r="S309" s="486">
        <f ca="1">R309-$R$306</f>
        <v>4.482318156448466</v>
      </c>
      <c r="T309" s="486">
        <f t="shared" si="189"/>
        <v>-0.5632130224291988</v>
      </c>
      <c r="U309" s="486" t="str">
        <f t="shared" si="190"/>
        <v/>
      </c>
      <c r="V309" s="486">
        <f ca="1">N309+S309</f>
        <v>2.135581670533222</v>
      </c>
    </row>
    <row r="310" spans="1:23" s="375" customFormat="1">
      <c r="A310" s="375" t="str">
        <f t="shared" si="191"/>
        <v>Alternative 2</v>
      </c>
      <c r="B310" s="486">
        <f>NPV('Building Info &amp; Assumptions'!$E$63,'Operating Statements'!B276:F276)</f>
        <v>315.85773599639754</v>
      </c>
      <c r="C310" s="486">
        <f t="shared" ca="1" si="192"/>
        <v>2.9602363673230343</v>
      </c>
      <c r="D310" s="486">
        <f>NPV('Building Info &amp; Assumptions'!$E$63,'Operating Statements'!B276:K276)</f>
        <v>615.95074721326262</v>
      </c>
      <c r="E310" s="486">
        <f t="shared" ca="1" si="193"/>
        <v>5.7862223027309483</v>
      </c>
      <c r="F310" s="486">
        <f>NPV('Building Info &amp; Assumptions'!$E$63,'Operating Statements'!B276:P276)</f>
        <v>901.89400530395369</v>
      </c>
      <c r="G310" s="486">
        <f t="shared" ca="1" si="194"/>
        <v>9.2191659588742141</v>
      </c>
      <c r="H310" s="486">
        <f>NPV('Building Info &amp; Assumptions'!$E$63,'Operating Statements'!B276:U276)</f>
        <v>1170.65450788412</v>
      </c>
      <c r="I310" s="486">
        <f t="shared" ca="1" si="195"/>
        <v>9.8189031788767807</v>
      </c>
      <c r="K310" s="486"/>
      <c r="L310" s="486"/>
      <c r="M310" s="486">
        <f>IF(Alternatives!$B$10=5,B302,IF(Alternatives!$B$10=10,F302,IF(Alternatives!$B$10=15,J302,N302)))</f>
        <v>1169.8690494601281</v>
      </c>
      <c r="N310" s="486">
        <f ca="1">M310-$M$306</f>
        <v>3.9879135760072586</v>
      </c>
      <c r="O310" s="486">
        <f t="shared" si="187"/>
        <v>1169.8690494601281</v>
      </c>
      <c r="P310" s="486" t="str">
        <f t="shared" si="188"/>
        <v/>
      </c>
      <c r="R310" s="486">
        <f>IF(Alternatives!$B$10=5,D302,IF(Alternatives!$B$10=10,H302,IF(Alternatives!$B$10=15,L302,P302)))</f>
        <v>0.78545842399193444</v>
      </c>
      <c r="S310" s="486">
        <f ca="1">R310-$R$306</f>
        <v>5.8309896028695993</v>
      </c>
      <c r="T310" s="486">
        <f t="shared" si="189"/>
        <v>0.78545842399193444</v>
      </c>
      <c r="U310" s="486" t="str">
        <f t="shared" si="190"/>
        <v/>
      </c>
      <c r="V310" s="486">
        <f t="shared" ca="1" si="196"/>
        <v>9.8189031788768588</v>
      </c>
    </row>
    <row r="311" spans="1:23" s="375" customFormat="1">
      <c r="A311" s="375" t="str">
        <f t="shared" si="191"/>
        <v>Alternative 3</v>
      </c>
      <c r="B311" s="486">
        <f>NPV('Building Info &amp; Assumptions'!$E$63,'Operating Statements'!B278:F278)</f>
        <v>315.8128030311704</v>
      </c>
      <c r="C311" s="486">
        <f t="shared" ca="1" si="192"/>
        <v>2.9153034020959012</v>
      </c>
      <c r="D311" s="486">
        <f>NPV('Building Info &amp; Assumptions'!$E$63,'Operating Statements'!B278:K278)</f>
        <v>614.42140589936366</v>
      </c>
      <c r="E311" s="486">
        <f t="shared" ca="1" si="193"/>
        <v>4.2568809888319947</v>
      </c>
      <c r="F311" s="486">
        <f>NPV('Building Info &amp; Assumptions'!$E$63,'Operating Statements'!B278:P278)</f>
        <v>899.45224164700699</v>
      </c>
      <c r="G311" s="486">
        <f t="shared" ca="1" si="194"/>
        <v>6.7774023019275091</v>
      </c>
      <c r="H311" s="486">
        <f>NPV('Building Info &amp; Assumptions'!$E$63,'Operating Statements'!B278:U278)</f>
        <v>1168.0532352788448</v>
      </c>
      <c r="I311" s="486">
        <f t="shared" ca="1" si="195"/>
        <v>7.217630573601582</v>
      </c>
      <c r="K311" s="486"/>
      <c r="L311" s="486"/>
      <c r="M311" s="486">
        <f>IF(Alternatives!$B$10=5,B303,IF(Alternatives!$B$10=10,F303,IF(Alternatives!$B$10=15,J303,N303)))</f>
        <v>1168.0532352788448</v>
      </c>
      <c r="N311" s="486">
        <f ca="1">M311-$M$306</f>
        <v>2.1720993947240004</v>
      </c>
      <c r="O311" s="486">
        <f t="shared" si="187"/>
        <v>1168.0532352788448</v>
      </c>
      <c r="P311" s="486" t="str">
        <f t="shared" si="188"/>
        <v/>
      </c>
      <c r="R311" s="486">
        <f>IF(Alternatives!$B$10=5,D303,IF(Alternatives!$B$10=10,H303,IF(Alternatives!$B$10=15,L303,P303)))</f>
        <v>0</v>
      </c>
      <c r="S311" s="486">
        <f ca="1">R311-$R$306</f>
        <v>5.0455311788776651</v>
      </c>
      <c r="T311" s="486">
        <f t="shared" si="189"/>
        <v>0</v>
      </c>
      <c r="U311" s="486" t="str">
        <f t="shared" si="190"/>
        <v/>
      </c>
      <c r="V311" s="486">
        <f t="shared" ca="1" si="196"/>
        <v>7.2176305736016655</v>
      </c>
    </row>
    <row r="312" spans="1:23" s="375" customFormat="1">
      <c r="B312" s="720"/>
      <c r="C312" s="486"/>
      <c r="D312" s="720"/>
      <c r="E312" s="486"/>
      <c r="F312" s="486"/>
      <c r="G312" s="486"/>
      <c r="H312" s="486"/>
      <c r="I312" s="486"/>
      <c r="K312" s="486"/>
      <c r="L312" s="486"/>
      <c r="M312" s="486"/>
      <c r="N312" s="486"/>
      <c r="P312" s="484"/>
      <c r="Q312" s="484"/>
      <c r="R312" s="598"/>
      <c r="S312" s="598"/>
      <c r="U312" s="485"/>
      <c r="V312" s="483"/>
      <c r="W312" s="483"/>
    </row>
    <row r="313" spans="1:23" s="375" customFormat="1">
      <c r="A313" s="375" t="s">
        <v>616</v>
      </c>
      <c r="B313" s="774"/>
      <c r="C313" s="486"/>
      <c r="D313" s="720"/>
      <c r="E313" s="486"/>
      <c r="F313" s="486"/>
      <c r="G313" s="486"/>
      <c r="H313" s="486"/>
      <c r="I313" s="486"/>
      <c r="K313" s="486"/>
      <c r="L313" s="486"/>
      <c r="M313" s="486"/>
      <c r="N313" s="486"/>
      <c r="P313" s="484"/>
      <c r="Q313" s="484"/>
      <c r="R313" s="598"/>
      <c r="S313" s="598"/>
      <c r="U313" s="485"/>
      <c r="V313" s="483"/>
      <c r="W313" s="483"/>
    </row>
    <row r="314" spans="1:23" s="375" customFormat="1">
      <c r="A314" s="375" t="str">
        <f>A298</f>
        <v>Baseline Reactive (Cap Op St+IR DM)</v>
      </c>
      <c r="B314" s="775">
        <f>MAX('Building Info &amp; Assumptions'!$E$148:$E$159)</f>
        <v>22100</v>
      </c>
      <c r="C314" s="479">
        <f>$B$314-IF(C$321&gt;=Alternatives!$I$16,SUMIFS('Narrative &amp; Measures'!$G$28:$G$67,'Narrative &amp; Measures'!$B$28:$B$67,"Deferred Maintenance",'Narrative &amp; Measures'!$T$28:$T$67,"&gt;="&amp;(D$321-Alternatives!$I$16)),0)-IF(C$321&gt;=Alternatives!$I$15,SUMIFS('Narrative &amp; Measures'!$G$28:$G$67,'Narrative &amp; Measures'!$B$28:$B$67,"Immediate Repairs: Life Safety &amp; Critical",'Narrative &amp; Measures'!$T$28:$T$67,"&gt;="&amp;(D$321-Alternatives!$I$15)),0)-IF(C$321&gt;=Alternatives!$I$20,'Equipment Inventory'!$BP$11,0)-IF(C$321&gt;=Alternatives!$I$21,'Equipment Inventory'!$BP$12,0)-IF(C$321&gt;=Alternatives!$I$22,'Equipment Inventory'!$BP$13,0)-IF(C$321&gt;=Alternatives!$I$23,'Equipment Inventory'!$BP$14,0)</f>
        <v>22100</v>
      </c>
      <c r="D314" s="479">
        <f ca="1">$B$314-IF(D$321&gt;=Alternatives!$I$16,SUMIFS('Narrative &amp; Measures'!$G$28:$G$67,'Narrative &amp; Measures'!$B$28:$B$67,"Deferred Maintenance",'Narrative &amp; Measures'!$T$28:$T$67,"&gt;="&amp;(E$321-Alternatives!$I$16)),0)-IF(D$321&gt;=Alternatives!$I$15,SUMIFS('Narrative &amp; Measures'!$G$28:$G$67,'Narrative &amp; Measures'!$B$28:$B$67,"Immediate Repairs: Life Safety &amp; Critical",'Narrative &amp; Measures'!$T$28:$T$67,"&gt;="&amp;(E$321-Alternatives!$I$15)),0)-IF(D$321&gt;=Alternatives!$I$20,'Equipment Inventory'!$BP$11,0)-IF(D$321&gt;=Alternatives!$I$21,'Equipment Inventory'!$BP$12,0)-IF(D$321&gt;=Alternatives!$I$22,'Equipment Inventory'!$BP$13,0)-IF(D$321&gt;=Alternatives!$I$23,'Equipment Inventory'!$BP$14,0)</f>
        <v>22034</v>
      </c>
      <c r="E314" s="479">
        <f ca="1">$B$314-IF(E$321&gt;=Alternatives!$I$16,SUMIFS('Narrative &amp; Measures'!$G$28:$G$67,'Narrative &amp; Measures'!$B$28:$B$67,"Deferred Maintenance",'Narrative &amp; Measures'!$T$28:$T$67,"&gt;="&amp;(F$321-Alternatives!$I$16)),0)-IF(E$321&gt;=Alternatives!$I$15,SUMIFS('Narrative &amp; Measures'!$G$28:$G$67,'Narrative &amp; Measures'!$B$28:$B$67,"Immediate Repairs: Life Safety &amp; Critical",'Narrative &amp; Measures'!$T$28:$T$67,"&gt;="&amp;(F$321-Alternatives!$I$15)),0)-IF(E$321&gt;=Alternatives!$I$20,'Equipment Inventory'!$BP$11,0)-IF(E$321&gt;=Alternatives!$I$21,'Equipment Inventory'!$BP$12,0)-IF(E$321&gt;=Alternatives!$I$22,'Equipment Inventory'!$BP$13,0)-IF(E$321&gt;=Alternatives!$I$23,'Equipment Inventory'!$BP$14,0)</f>
        <v>22034</v>
      </c>
      <c r="F314" s="479">
        <f ca="1">$B$314-IF(F$321&gt;=Alternatives!$I$16,SUMIFS('Narrative &amp; Measures'!$G$28:$G$67,'Narrative &amp; Measures'!$B$28:$B$67,"Deferred Maintenance",'Narrative &amp; Measures'!$T$28:$T$67,"&gt;="&amp;(G$321-Alternatives!$I$16)),0)-IF(F$321&gt;=Alternatives!$I$15,SUMIFS('Narrative &amp; Measures'!$G$28:$G$67,'Narrative &amp; Measures'!$B$28:$B$67,"Immediate Repairs: Life Safety &amp; Critical",'Narrative &amp; Measures'!$T$28:$T$67,"&gt;="&amp;(G$321-Alternatives!$I$15)),0)-IF(F$321&gt;=Alternatives!$I$20,'Equipment Inventory'!$BP$11,0)-IF(F$321&gt;=Alternatives!$I$21,'Equipment Inventory'!$BP$12,0)-IF(F$321&gt;=Alternatives!$I$22,'Equipment Inventory'!$BP$13,0)-IF(F$321&gt;=Alternatives!$I$23,'Equipment Inventory'!$BP$14,0)</f>
        <v>22034</v>
      </c>
      <c r="G314" s="479">
        <f ca="1">$B$314-IF(G$321&gt;=Alternatives!$I$16,SUMIFS('Narrative &amp; Measures'!$G$28:$G$67,'Narrative &amp; Measures'!$B$28:$B$67,"Deferred Maintenance",'Narrative &amp; Measures'!$T$28:$T$67,"&gt;="&amp;(H$321-Alternatives!$I$16)),0)-IF(G$321&gt;=Alternatives!$I$15,SUMIFS('Narrative &amp; Measures'!$G$28:$G$67,'Narrative &amp; Measures'!$B$28:$B$67,"Immediate Repairs: Life Safety &amp; Critical",'Narrative &amp; Measures'!$T$28:$T$67,"&gt;="&amp;(H$321-Alternatives!$I$15)),0)-IF(G$321&gt;=Alternatives!$I$20,'Equipment Inventory'!$BP$11,0)-IF(G$321&gt;=Alternatives!$I$21,'Equipment Inventory'!$BP$12,0)-IF(G$321&gt;=Alternatives!$I$22,'Equipment Inventory'!$BP$13,0)-IF(G$321&gt;=Alternatives!$I$23,'Equipment Inventory'!$BP$14,0)</f>
        <v>22034</v>
      </c>
      <c r="H314" s="479">
        <f ca="1">$B$314-IF(H$321&gt;=Alternatives!$I$16,SUMIFS('Narrative &amp; Measures'!$G$28:$G$67,'Narrative &amp; Measures'!$B$28:$B$67,"Deferred Maintenance",'Narrative &amp; Measures'!$T$28:$T$67,"&gt;="&amp;(I$321-Alternatives!$I$16)),0)-IF(H$321&gt;=Alternatives!$I$15,SUMIFS('Narrative &amp; Measures'!$G$28:$G$67,'Narrative &amp; Measures'!$B$28:$B$67,"Immediate Repairs: Life Safety &amp; Critical",'Narrative &amp; Measures'!$T$28:$T$67,"&gt;="&amp;(I$321-Alternatives!$I$15)),0)-IF(H$321&gt;=Alternatives!$I$20,'Equipment Inventory'!$BP$11,0)-IF(H$321&gt;=Alternatives!$I$21,'Equipment Inventory'!$BP$12,0)-IF(H$321&gt;=Alternatives!$I$22,'Equipment Inventory'!$BP$13,0)-IF(H$321&gt;=Alternatives!$I$23,'Equipment Inventory'!$BP$14,0)</f>
        <v>22034</v>
      </c>
      <c r="I314" s="479">
        <f ca="1">$B$314-IF(I$321&gt;=Alternatives!$I$16,SUMIFS('Narrative &amp; Measures'!$G$28:$G$67,'Narrative &amp; Measures'!$B$28:$B$67,"Deferred Maintenance",'Narrative &amp; Measures'!$T$28:$T$67,"&gt;="&amp;(J$321-Alternatives!$I$16)),0)-IF(I$321&gt;=Alternatives!$I$15,SUMIFS('Narrative &amp; Measures'!$G$28:$G$67,'Narrative &amp; Measures'!$B$28:$B$67,"Immediate Repairs: Life Safety &amp; Critical",'Narrative &amp; Measures'!$T$28:$T$67,"&gt;="&amp;(J$321-Alternatives!$I$15)),0)-IF(I$321&gt;=Alternatives!$I$20,'Equipment Inventory'!$BP$11,0)-IF(I$321&gt;=Alternatives!$I$21,'Equipment Inventory'!$BP$12,0)-IF(I$321&gt;=Alternatives!$I$22,'Equipment Inventory'!$BP$13,0)-IF(I$321&gt;=Alternatives!$I$23,'Equipment Inventory'!$BP$14,0)</f>
        <v>21714</v>
      </c>
      <c r="J314" s="479">
        <f ca="1">$B$314-IF(J$321&gt;=Alternatives!$I$16,SUMIFS('Narrative &amp; Measures'!$G$28:$G$67,'Narrative &amp; Measures'!$B$28:$B$67,"Deferred Maintenance",'Narrative &amp; Measures'!$T$28:$T$67,"&gt;="&amp;(K$321-Alternatives!$I$16)),0)-IF(J$321&gt;=Alternatives!$I$15,SUMIFS('Narrative &amp; Measures'!$G$28:$G$67,'Narrative &amp; Measures'!$B$28:$B$67,"Immediate Repairs: Life Safety &amp; Critical",'Narrative &amp; Measures'!$T$28:$T$67,"&gt;="&amp;(K$321-Alternatives!$I$15)),0)-IF(J$321&gt;=Alternatives!$I$20,'Equipment Inventory'!$BP$11,0)-IF(J$321&gt;=Alternatives!$I$21,'Equipment Inventory'!$BP$12,0)-IF(J$321&gt;=Alternatives!$I$22,'Equipment Inventory'!$BP$13,0)-IF(J$321&gt;=Alternatives!$I$23,'Equipment Inventory'!$BP$14,0)</f>
        <v>21714</v>
      </c>
      <c r="K314" s="479">
        <f ca="1">$B$314-IF(K$321&gt;=Alternatives!$I$16,SUMIFS('Narrative &amp; Measures'!$G$28:$G$67,'Narrative &amp; Measures'!$B$28:$B$67,"Deferred Maintenance",'Narrative &amp; Measures'!$T$28:$T$67,"&gt;="&amp;(L$321-Alternatives!$I$16)),0)-IF(K$321&gt;=Alternatives!$I$15,SUMIFS('Narrative &amp; Measures'!$G$28:$G$67,'Narrative &amp; Measures'!$B$28:$B$67,"Immediate Repairs: Life Safety &amp; Critical",'Narrative &amp; Measures'!$T$28:$T$67,"&gt;="&amp;(L$321-Alternatives!$I$15)),0)-IF(K$321&gt;=Alternatives!$I$20,'Equipment Inventory'!$BP$11,0)-IF(K$321&gt;=Alternatives!$I$21,'Equipment Inventory'!$BP$12,0)-IF(K$321&gt;=Alternatives!$I$22,'Equipment Inventory'!$BP$13,0)-IF(K$321&gt;=Alternatives!$I$23,'Equipment Inventory'!$BP$14,0)</f>
        <v>21714</v>
      </c>
      <c r="L314" s="479">
        <f ca="1">$B$314-IF(L$321&gt;=Alternatives!$I$16,SUMIFS('Narrative &amp; Measures'!$G$28:$G$67,'Narrative &amp; Measures'!$B$28:$B$67,"Deferred Maintenance",'Narrative &amp; Measures'!$T$28:$T$67,"&gt;="&amp;(M$321-Alternatives!$I$16)),0)-IF(L$321&gt;=Alternatives!$I$15,SUMIFS('Narrative &amp; Measures'!$G$28:$G$67,'Narrative &amp; Measures'!$B$28:$B$67,"Immediate Repairs: Life Safety &amp; Critical",'Narrative &amp; Measures'!$T$28:$T$67,"&gt;="&amp;(M$321-Alternatives!$I$15)),0)-IF(L$321&gt;=Alternatives!$I$20,'Equipment Inventory'!$BP$11,0)-IF(L$321&gt;=Alternatives!$I$21,'Equipment Inventory'!$BP$12,0)-IF(L$321&gt;=Alternatives!$I$22,'Equipment Inventory'!$BP$13,0)-IF(L$321&gt;=Alternatives!$I$23,'Equipment Inventory'!$BP$14,0)</f>
        <v>21714</v>
      </c>
      <c r="M314" s="479">
        <f ca="1">$B$314-IF(M$321&gt;=Alternatives!$I$16,SUMIFS('Narrative &amp; Measures'!$G$28:$G$67,'Narrative &amp; Measures'!$B$28:$B$67,"Deferred Maintenance",'Narrative &amp; Measures'!$T$28:$T$67,"&gt;="&amp;(N$321-Alternatives!$I$16)),0)-IF(M$321&gt;=Alternatives!$I$15,SUMIFS('Narrative &amp; Measures'!$G$28:$G$67,'Narrative &amp; Measures'!$B$28:$B$67,"Immediate Repairs: Life Safety &amp; Critical",'Narrative &amp; Measures'!$T$28:$T$67,"&gt;="&amp;(N$321-Alternatives!$I$15)),0)-IF(M$321&gt;=Alternatives!$I$20,'Equipment Inventory'!$BP$11,0)-IF(M$321&gt;=Alternatives!$I$21,'Equipment Inventory'!$BP$12,0)-IF(M$321&gt;=Alternatives!$I$22,'Equipment Inventory'!$BP$13,0)-IF(M$321&gt;=Alternatives!$I$23,'Equipment Inventory'!$BP$14,0)</f>
        <v>21714</v>
      </c>
      <c r="N314" s="479">
        <f ca="1">$B$314-IF(N$321&gt;=Alternatives!$I$16,SUMIFS('Narrative &amp; Measures'!$G$28:$G$67,'Narrative &amp; Measures'!$B$28:$B$67,"Deferred Maintenance",'Narrative &amp; Measures'!$T$28:$T$67,"&gt;="&amp;(O$321-Alternatives!$I$16)),0)-IF(N$321&gt;=Alternatives!$I$15,SUMIFS('Narrative &amp; Measures'!$G$28:$G$67,'Narrative &amp; Measures'!$B$28:$B$67,"Immediate Repairs: Life Safety &amp; Critical",'Narrative &amp; Measures'!$T$28:$T$67,"&gt;="&amp;(O$321-Alternatives!$I$15)),0)-IF(N$321&gt;=Alternatives!$I$20,'Equipment Inventory'!$BP$11,0)-IF(N$321&gt;=Alternatives!$I$21,'Equipment Inventory'!$BP$12,0)-IF(N$321&gt;=Alternatives!$I$22,'Equipment Inventory'!$BP$13,0)-IF(N$321&gt;=Alternatives!$I$23,'Equipment Inventory'!$BP$14,0)</f>
        <v>21684</v>
      </c>
      <c r="O314" s="479">
        <f ca="1">$B$314-IF(O$321&gt;=Alternatives!$I$16,SUMIFS('Narrative &amp; Measures'!$G$28:$G$67,'Narrative &amp; Measures'!$B$28:$B$67,"Deferred Maintenance",'Narrative &amp; Measures'!$T$28:$T$67,"&gt;="&amp;(P$321-Alternatives!$I$16)),0)-IF(O$321&gt;=Alternatives!$I$15,SUMIFS('Narrative &amp; Measures'!$G$28:$G$67,'Narrative &amp; Measures'!$B$28:$B$67,"Immediate Repairs: Life Safety &amp; Critical",'Narrative &amp; Measures'!$T$28:$T$67,"&gt;="&amp;(P$321-Alternatives!$I$15)),0)-IF(O$321&gt;=Alternatives!$I$20,'Equipment Inventory'!$BP$11,0)-IF(O$321&gt;=Alternatives!$I$21,'Equipment Inventory'!$BP$12,0)-IF(O$321&gt;=Alternatives!$I$22,'Equipment Inventory'!$BP$13,0)-IF(O$321&gt;=Alternatives!$I$23,'Equipment Inventory'!$BP$14,0)</f>
        <v>21684</v>
      </c>
      <c r="P314" s="479">
        <f ca="1">$B$314-IF(P$321&gt;=Alternatives!$I$16,SUMIFS('Narrative &amp; Measures'!$G$28:$G$67,'Narrative &amp; Measures'!$B$28:$B$67,"Deferred Maintenance",'Narrative &amp; Measures'!$T$28:$T$67,"&gt;="&amp;(Q$321-Alternatives!$I$16)),0)-IF(P$321&gt;=Alternatives!$I$15,SUMIFS('Narrative &amp; Measures'!$G$28:$G$67,'Narrative &amp; Measures'!$B$28:$B$67,"Immediate Repairs: Life Safety &amp; Critical",'Narrative &amp; Measures'!$T$28:$T$67,"&gt;="&amp;(Q$321-Alternatives!$I$15)),0)-IF(P$321&gt;=Alternatives!$I$20,'Equipment Inventory'!$BP$11,0)-IF(P$321&gt;=Alternatives!$I$21,'Equipment Inventory'!$BP$12,0)-IF(P$321&gt;=Alternatives!$I$22,'Equipment Inventory'!$BP$13,0)-IF(P$321&gt;=Alternatives!$I$23,'Equipment Inventory'!$BP$14,0)</f>
        <v>21684</v>
      </c>
      <c r="Q314" s="479">
        <f ca="1">$B$314-IF(Q$321&gt;=Alternatives!$I$16,SUMIFS('Narrative &amp; Measures'!$G$28:$G$67,'Narrative &amp; Measures'!$B$28:$B$67,"Deferred Maintenance",'Narrative &amp; Measures'!$T$28:$T$67,"&gt;="&amp;(R$321-Alternatives!$I$16)),0)-IF(Q$321&gt;=Alternatives!$I$15,SUMIFS('Narrative &amp; Measures'!$G$28:$G$67,'Narrative &amp; Measures'!$B$28:$B$67,"Immediate Repairs: Life Safety &amp; Critical",'Narrative &amp; Measures'!$T$28:$T$67,"&gt;="&amp;(R$321-Alternatives!$I$15)),0)-IF(Q$321&gt;=Alternatives!$I$20,'Equipment Inventory'!$BP$11,0)-IF(Q$321&gt;=Alternatives!$I$21,'Equipment Inventory'!$BP$12,0)-IF(Q$321&gt;=Alternatives!$I$22,'Equipment Inventory'!$BP$13,0)-IF(Q$321&gt;=Alternatives!$I$23,'Equipment Inventory'!$BP$14,0)</f>
        <v>21684</v>
      </c>
      <c r="R314" s="479">
        <f ca="1">$B$314-IF(R$321&gt;=Alternatives!$I$16,SUMIFS('Narrative &amp; Measures'!$G$28:$G$67,'Narrative &amp; Measures'!$B$28:$B$67,"Deferred Maintenance",'Narrative &amp; Measures'!$T$28:$T$67,"&gt;="&amp;(S$321-Alternatives!$I$16)),0)-IF(R$321&gt;=Alternatives!$I$15,SUMIFS('Narrative &amp; Measures'!$G$28:$G$67,'Narrative &amp; Measures'!$B$28:$B$67,"Immediate Repairs: Life Safety &amp; Critical",'Narrative &amp; Measures'!$T$28:$T$67,"&gt;="&amp;(S$321-Alternatives!$I$15)),0)-IF(R$321&gt;=Alternatives!$I$20,'Equipment Inventory'!$BP$11,0)-IF(R$321&gt;=Alternatives!$I$21,'Equipment Inventory'!$BP$12,0)-IF(R$321&gt;=Alternatives!$I$22,'Equipment Inventory'!$BP$13,0)-IF(R$321&gt;=Alternatives!$I$23,'Equipment Inventory'!$BP$14,0)</f>
        <v>21684</v>
      </c>
      <c r="S314" s="479">
        <f ca="1">$B$314-IF(S$321&gt;=Alternatives!$I$16,SUMIFS('Narrative &amp; Measures'!$G$28:$G$67,'Narrative &amp; Measures'!$B$28:$B$67,"Deferred Maintenance",'Narrative &amp; Measures'!$T$28:$T$67,"&gt;="&amp;(T$321-Alternatives!$I$16)),0)-IF(S$321&gt;=Alternatives!$I$15,SUMIFS('Narrative &amp; Measures'!$G$28:$G$67,'Narrative &amp; Measures'!$B$28:$B$67,"Immediate Repairs: Life Safety &amp; Critical",'Narrative &amp; Measures'!$T$28:$T$67,"&gt;="&amp;(T$321-Alternatives!$I$15)),0)-IF(S$321&gt;=Alternatives!$I$20,'Equipment Inventory'!$BP$11,0)-IF(S$321&gt;=Alternatives!$I$21,'Equipment Inventory'!$BP$12,0)-IF(S$321&gt;=Alternatives!$I$22,'Equipment Inventory'!$BP$13,0)-IF(S$321&gt;=Alternatives!$I$23,'Equipment Inventory'!$BP$14,0)</f>
        <v>21684</v>
      </c>
      <c r="T314" s="479">
        <f ca="1">$B$314-IF(T$321&gt;=Alternatives!$I$16,SUMIFS('Narrative &amp; Measures'!$G$28:$G$67,'Narrative &amp; Measures'!$B$28:$B$67,"Deferred Maintenance",'Narrative &amp; Measures'!$T$28:$T$67,"&gt;="&amp;(U$321-Alternatives!$I$16)),0)-IF(T$321&gt;=Alternatives!$I$15,SUMIFS('Narrative &amp; Measures'!$G$28:$G$67,'Narrative &amp; Measures'!$B$28:$B$67,"Immediate Repairs: Life Safety &amp; Critical",'Narrative &amp; Measures'!$T$28:$T$67,"&gt;="&amp;(U$321-Alternatives!$I$15)),0)-IF(T$321&gt;=Alternatives!$I$20,'Equipment Inventory'!$BP$11,0)-IF(T$321&gt;=Alternatives!$I$21,'Equipment Inventory'!$BP$12,0)-IF(T$321&gt;=Alternatives!$I$22,'Equipment Inventory'!$BP$13,0)-IF(T$321&gt;=Alternatives!$I$23,'Equipment Inventory'!$BP$14,0)</f>
        <v>21684</v>
      </c>
      <c r="U314" s="479">
        <f ca="1">$B$314-IF(U$321&gt;=Alternatives!$I$16,SUMIFS('Narrative &amp; Measures'!$G$28:$G$67,'Narrative &amp; Measures'!$B$28:$B$67,"Deferred Maintenance",'Narrative &amp; Measures'!$T$28:$T$67,"&gt;="&amp;(V$321-Alternatives!$I$16)),0)-IF(U$321&gt;=Alternatives!$I$15,SUMIFS('Narrative &amp; Measures'!$G$28:$G$67,'Narrative &amp; Measures'!$B$28:$B$67,"Immediate Repairs: Life Safety &amp; Critical",'Narrative &amp; Measures'!$T$28:$T$67,"&gt;="&amp;(V$321-Alternatives!$I$15)),0)-IF(U$321&gt;=Alternatives!$I$20,'Equipment Inventory'!$BP$11,0)-IF(U$321&gt;=Alternatives!$I$21,'Equipment Inventory'!$BP$12,0)-IF(U$321&gt;=Alternatives!$I$22,'Equipment Inventory'!$BP$13,0)-IF(U$321&gt;=Alternatives!$I$23,'Equipment Inventory'!$BP$14,0)</f>
        <v>21684</v>
      </c>
      <c r="V314" s="479">
        <f ca="1">$B$314-IF(V$321&gt;=Alternatives!$I$16,SUMIFS('Narrative &amp; Measures'!$G$28:$G$67,'Narrative &amp; Measures'!$B$28:$B$67,"Deferred Maintenance",'Narrative &amp; Measures'!$T$28:$T$67,"&gt;="&amp;(W$321-Alternatives!$I$16)),0)-IF(V$321&gt;=Alternatives!$I$15,SUMIFS('Narrative &amp; Measures'!$G$28:$G$67,'Narrative &amp; Measures'!$B$28:$B$67,"Immediate Repairs: Life Safety &amp; Critical",'Narrative &amp; Measures'!$T$28:$T$67,"&gt;="&amp;(W$321-Alternatives!$I$15)),0)-IF(V$321&gt;=Alternatives!$I$20,'Equipment Inventory'!$BP$11,0)-IF(V$321&gt;=Alternatives!$I$21,'Equipment Inventory'!$BP$12,0)-IF(V$321&gt;=Alternatives!$I$22,'Equipment Inventory'!$BP$13,0)-IF(V$321&gt;=Alternatives!$I$23,'Equipment Inventory'!$BP$14,0)</f>
        <v>21684</v>
      </c>
      <c r="W314" s="483"/>
    </row>
    <row r="315" spans="1:23" s="375" customFormat="1">
      <c r="A315" s="375" t="str">
        <f t="shared" ref="A315:A319" si="197">A299</f>
        <v>Baseline - Reactive Fines</v>
      </c>
      <c r="B315" s="775">
        <f>MAX('Building Info &amp; Assumptions'!$E$148:$E$159)</f>
        <v>22100</v>
      </c>
      <c r="C315" s="479">
        <f>C314</f>
        <v>22100</v>
      </c>
      <c r="D315" s="479">
        <f t="shared" ref="D315:V316" ca="1" si="198">D314</f>
        <v>22034</v>
      </c>
      <c r="E315" s="479">
        <f t="shared" ca="1" si="198"/>
        <v>22034</v>
      </c>
      <c r="F315" s="479">
        <f t="shared" ca="1" si="198"/>
        <v>22034</v>
      </c>
      <c r="G315" s="479">
        <f t="shared" ca="1" si="198"/>
        <v>22034</v>
      </c>
      <c r="H315" s="479">
        <f t="shared" ca="1" si="198"/>
        <v>22034</v>
      </c>
      <c r="I315" s="479">
        <f t="shared" ca="1" si="198"/>
        <v>21714</v>
      </c>
      <c r="J315" s="479">
        <f t="shared" ca="1" si="198"/>
        <v>21714</v>
      </c>
      <c r="K315" s="479">
        <f t="shared" ca="1" si="198"/>
        <v>21714</v>
      </c>
      <c r="L315" s="479">
        <f t="shared" ca="1" si="198"/>
        <v>21714</v>
      </c>
      <c r="M315" s="479">
        <f t="shared" ca="1" si="198"/>
        <v>21714</v>
      </c>
      <c r="N315" s="479">
        <f t="shared" ca="1" si="198"/>
        <v>21684</v>
      </c>
      <c r="O315" s="479">
        <f t="shared" ca="1" si="198"/>
        <v>21684</v>
      </c>
      <c r="P315" s="479">
        <f t="shared" ca="1" si="198"/>
        <v>21684</v>
      </c>
      <c r="Q315" s="479">
        <f t="shared" ca="1" si="198"/>
        <v>21684</v>
      </c>
      <c r="R315" s="479">
        <f t="shared" ca="1" si="198"/>
        <v>21684</v>
      </c>
      <c r="S315" s="479">
        <f t="shared" ca="1" si="198"/>
        <v>21684</v>
      </c>
      <c r="T315" s="479">
        <f t="shared" ca="1" si="198"/>
        <v>21684</v>
      </c>
      <c r="U315" s="479">
        <f t="shared" ca="1" si="198"/>
        <v>21684</v>
      </c>
      <c r="V315" s="479">
        <f t="shared" ca="1" si="198"/>
        <v>21684</v>
      </c>
      <c r="W315" s="483"/>
    </row>
    <row r="316" spans="1:23" s="375" customFormat="1">
      <c r="A316" s="375" t="str">
        <f t="shared" si="197"/>
        <v>Baseline - Offset Based Compliance</v>
      </c>
      <c r="B316" s="775">
        <f>MAX('Building Info &amp; Assumptions'!$E$148:$E$159)</f>
        <v>22100</v>
      </c>
      <c r="C316" s="479">
        <f>C315</f>
        <v>22100</v>
      </c>
      <c r="D316" s="479">
        <f t="shared" ca="1" si="198"/>
        <v>22034</v>
      </c>
      <c r="E316" s="479">
        <f t="shared" ca="1" si="198"/>
        <v>22034</v>
      </c>
      <c r="F316" s="479">
        <f t="shared" ca="1" si="198"/>
        <v>22034</v>
      </c>
      <c r="G316" s="479">
        <f t="shared" ca="1" si="198"/>
        <v>22034</v>
      </c>
      <c r="H316" s="479">
        <f t="shared" ca="1" si="198"/>
        <v>22034</v>
      </c>
      <c r="I316" s="479">
        <f t="shared" ca="1" si="198"/>
        <v>21714</v>
      </c>
      <c r="J316" s="479">
        <f t="shared" ca="1" si="198"/>
        <v>21714</v>
      </c>
      <c r="K316" s="479">
        <f t="shared" ca="1" si="198"/>
        <v>21714</v>
      </c>
      <c r="L316" s="479">
        <f t="shared" ca="1" si="198"/>
        <v>21714</v>
      </c>
      <c r="M316" s="479">
        <f t="shared" ca="1" si="198"/>
        <v>21714</v>
      </c>
      <c r="N316" s="479">
        <f t="shared" ca="1" si="198"/>
        <v>21684</v>
      </c>
      <c r="O316" s="479">
        <f t="shared" ca="1" si="198"/>
        <v>21684</v>
      </c>
      <c r="P316" s="479">
        <f t="shared" ca="1" si="198"/>
        <v>21684</v>
      </c>
      <c r="Q316" s="479">
        <f t="shared" ca="1" si="198"/>
        <v>21684</v>
      </c>
      <c r="R316" s="479">
        <f t="shared" ca="1" si="198"/>
        <v>21684</v>
      </c>
      <c r="S316" s="479">
        <f t="shared" ca="1" si="198"/>
        <v>21684</v>
      </c>
      <c r="T316" s="479">
        <f t="shared" ca="1" si="198"/>
        <v>21684</v>
      </c>
      <c r="U316" s="479">
        <f t="shared" ca="1" si="198"/>
        <v>21684</v>
      </c>
      <c r="V316" s="479">
        <f t="shared" ca="1" si="198"/>
        <v>21684</v>
      </c>
      <c r="W316" s="483"/>
    </row>
    <row r="317" spans="1:23" s="375" customFormat="1">
      <c r="A317" s="375" t="str">
        <f t="shared" si="197"/>
        <v>Alternative 1</v>
      </c>
      <c r="B317" s="775">
        <f>MAX('Building Info &amp; Assumptions'!$E$148:$E$159)</f>
        <v>22100</v>
      </c>
      <c r="C317" s="479" cm="1">
        <f t="array" ref="C317">$B317-SUM(SUMIFS('Narrative &amp; Measures'!$G$28:$G$67,'Narrative &amp; Measures'!$A$28:$A$67,Alternatives!$C$38:$C$57,'Narrative &amp; Measures'!$BV$28:$BV$67,"&lt;="&amp;C$321,'Narrative &amp; Measures'!$CD$28:$CD$67,"&gt;="&amp;D$321))</f>
        <v>22100</v>
      </c>
      <c r="D317" s="479" cm="1">
        <f t="array" ref="D317">$B317-SUM(SUMIFS('Narrative &amp; Measures'!$G$28:$G$67,'Narrative &amp; Measures'!$A$28:$A$67,Alternatives!$C$38:$C$57,'Narrative &amp; Measures'!$BV$28:$BV$67,"&lt;="&amp;D$321,'Narrative &amp; Measures'!$CD$28:$CD$67,"&gt;="&amp;E$321))</f>
        <v>22600</v>
      </c>
      <c r="E317" s="479" cm="1">
        <f t="array" ref="E317">$B317-SUM(SUMIFS('Narrative &amp; Measures'!$G$28:$G$67,'Narrative &amp; Measures'!$A$28:$A$67,Alternatives!$C$38:$C$57,'Narrative &amp; Measures'!$BV$28:$BV$67,"&lt;="&amp;E$321,'Narrative &amp; Measures'!$CD$28:$CD$67,"&gt;="&amp;F$321))</f>
        <v>22600</v>
      </c>
      <c r="F317" s="479" cm="1">
        <f t="array" ref="F317">$B317-SUM(SUMIFS('Narrative &amp; Measures'!$G$28:$G$67,'Narrative &amp; Measures'!$A$28:$A$67,Alternatives!$C$38:$C$57,'Narrative &amp; Measures'!$BV$28:$BV$67,"&lt;="&amp;F$321,'Narrative &amp; Measures'!$CD$28:$CD$67,"&gt;="&amp;G$321))</f>
        <v>22600</v>
      </c>
      <c r="G317" s="479" cm="1">
        <f t="array" ref="G317">$B317-SUM(SUMIFS('Narrative &amp; Measures'!$G$28:$G$67,'Narrative &amp; Measures'!$A$28:$A$67,Alternatives!$C$38:$C$57,'Narrative &amp; Measures'!$BV$28:$BV$67,"&lt;="&amp;G$321,'Narrative &amp; Measures'!$CD$28:$CD$67,"&gt;="&amp;H$321))</f>
        <v>25400</v>
      </c>
      <c r="H317" s="479" cm="1">
        <f t="array" ref="H317">$B317-SUM(SUMIFS('Narrative &amp; Measures'!$G$28:$G$67,'Narrative &amp; Measures'!$A$28:$A$67,Alternatives!$C$38:$C$57,'Narrative &amp; Measures'!$BV$28:$BV$67,"&lt;="&amp;H$321,'Narrative &amp; Measures'!$CD$28:$CD$67,"&gt;="&amp;I$321))</f>
        <v>25400</v>
      </c>
      <c r="I317" s="479" cm="1">
        <f t="array" ref="I317">$B317-SUM(SUMIFS('Narrative &amp; Measures'!$G$28:$G$67,'Narrative &amp; Measures'!$A$28:$A$67,Alternatives!$C$38:$C$57,'Narrative &amp; Measures'!$BV$28:$BV$67,"&lt;="&amp;I$321,'Narrative &amp; Measures'!$CD$28:$CD$67,"&gt;="&amp;J$321))</f>
        <v>25400</v>
      </c>
      <c r="J317" s="479" cm="1">
        <f t="array" ref="J317">$B317-SUM(SUMIFS('Narrative &amp; Measures'!$G$28:$G$67,'Narrative &amp; Measures'!$A$28:$A$67,Alternatives!$C$38:$C$57,'Narrative &amp; Measures'!$BV$28:$BV$67,"&lt;="&amp;J$321,'Narrative &amp; Measures'!$CD$28:$CD$67,"&gt;="&amp;K$321))</f>
        <v>26400</v>
      </c>
      <c r="K317" s="479" cm="1">
        <f t="array" ref="K317">$B317-SUM(SUMIFS('Narrative &amp; Measures'!$G$28:$G$67,'Narrative &amp; Measures'!$A$28:$A$67,Alternatives!$C$38:$C$57,'Narrative &amp; Measures'!$BV$28:$BV$67,"&lt;="&amp;K$321,'Narrative &amp; Measures'!$CD$28:$CD$67,"&gt;="&amp;L$321))</f>
        <v>26400</v>
      </c>
      <c r="L317" s="479" cm="1">
        <f t="array" ref="L317">$B317-SUM(SUMIFS('Narrative &amp; Measures'!$G$28:$G$67,'Narrative &amp; Measures'!$A$28:$A$67,Alternatives!$C$38:$C$57,'Narrative &amp; Measures'!$BV$28:$BV$67,"&lt;="&amp;L$321,'Narrative &amp; Measures'!$CD$28:$CD$67,"&gt;="&amp;M$321))</f>
        <v>26400</v>
      </c>
      <c r="M317" s="479" cm="1">
        <f t="array" ref="M317">$B317-SUM(SUMIFS('Narrative &amp; Measures'!$G$28:$G$67,'Narrative &amp; Measures'!$A$28:$A$67,Alternatives!$C$38:$C$57,'Narrative &amp; Measures'!$BV$28:$BV$67,"&lt;="&amp;M$321,'Narrative &amp; Measures'!$CD$28:$CD$67,"&gt;="&amp;N$321))</f>
        <v>26400</v>
      </c>
      <c r="N317" s="479" cm="1">
        <f t="array" ref="N317">$B317-SUM(SUMIFS('Narrative &amp; Measures'!$G$28:$G$67,'Narrative &amp; Measures'!$A$28:$A$67,Alternatives!$C$38:$C$57,'Narrative &amp; Measures'!$BV$28:$BV$67,"&lt;="&amp;N$321,'Narrative &amp; Measures'!$CD$28:$CD$67,"&gt;="&amp;O$321))</f>
        <v>26400</v>
      </c>
      <c r="O317" s="479" cm="1">
        <f t="array" ref="O317">$B317-SUM(SUMIFS('Narrative &amp; Measures'!$G$28:$G$67,'Narrative &amp; Measures'!$A$28:$A$67,Alternatives!$C$38:$C$57,'Narrative &amp; Measures'!$BV$28:$BV$67,"&lt;="&amp;O$321,'Narrative &amp; Measures'!$CD$28:$CD$67,"&gt;="&amp;P$321))</f>
        <v>26400</v>
      </c>
      <c r="P317" s="479" cm="1">
        <f t="array" ref="P317">$B317-SUM(SUMIFS('Narrative &amp; Measures'!$G$28:$G$67,'Narrative &amp; Measures'!$A$28:$A$67,Alternatives!$C$38:$C$57,'Narrative &amp; Measures'!$BV$28:$BV$67,"&lt;="&amp;P$321,'Narrative &amp; Measures'!$CD$28:$CD$67,"&gt;="&amp;Q$321))</f>
        <v>26400</v>
      </c>
      <c r="Q317" s="479" cm="1">
        <f t="array" ref="Q317">$B317-SUM(SUMIFS('Narrative &amp; Measures'!$G$28:$G$67,'Narrative &amp; Measures'!$A$28:$A$67,Alternatives!$C$38:$C$57,'Narrative &amp; Measures'!$BV$28:$BV$67,"&lt;="&amp;Q$321,'Narrative &amp; Measures'!$CD$28:$CD$67,"&gt;="&amp;R$321))</f>
        <v>26400</v>
      </c>
      <c r="R317" s="479" cm="1">
        <f t="array" ref="R317">$B317-SUM(SUMIFS('Narrative &amp; Measures'!$G$28:$G$67,'Narrative &amp; Measures'!$A$28:$A$67,Alternatives!$C$38:$C$57,'Narrative &amp; Measures'!$BV$28:$BV$67,"&lt;="&amp;R$321,'Narrative &amp; Measures'!$CD$28:$CD$67,"&gt;="&amp;S$321))</f>
        <v>26400</v>
      </c>
      <c r="S317" s="479" cm="1">
        <f t="array" ref="S317">$B317-SUM(SUMIFS('Narrative &amp; Measures'!$G$28:$G$67,'Narrative &amp; Measures'!$A$28:$A$67,Alternatives!$C$38:$C$57,'Narrative &amp; Measures'!$BV$28:$BV$67,"&lt;="&amp;S$321,'Narrative &amp; Measures'!$CD$28:$CD$67,"&gt;="&amp;T$321))</f>
        <v>25900</v>
      </c>
      <c r="T317" s="479" cm="1">
        <f t="array" ref="T317">$B317-SUM(SUMIFS('Narrative &amp; Measures'!$G$28:$G$67,'Narrative &amp; Measures'!$A$28:$A$67,Alternatives!$C$38:$C$57,'Narrative &amp; Measures'!$BV$28:$BV$67,"&lt;="&amp;T$321,'Narrative &amp; Measures'!$CD$28:$CD$67,"&gt;="&amp;U$321))</f>
        <v>25900</v>
      </c>
      <c r="U317" s="479" cm="1">
        <f t="array" ref="U317">$B317-SUM(SUMIFS('Narrative &amp; Measures'!$G$28:$G$67,'Narrative &amp; Measures'!$A$28:$A$67,Alternatives!$C$38:$C$57,'Narrative &amp; Measures'!$BV$28:$BV$67,"&lt;="&amp;U$321,'Narrative &amp; Measures'!$CD$28:$CD$67,"&gt;="&amp;V$321))</f>
        <v>25900</v>
      </c>
      <c r="V317" s="479" cm="1">
        <f t="array" ref="V317">$B317-SUM(SUMIFS('Narrative &amp; Measures'!$G$28:$G$67,'Narrative &amp; Measures'!$A$28:$A$67,Alternatives!$C$38:$C$57,'Narrative &amp; Measures'!$BV$28:$BV$67,"&lt;="&amp;V$321,'Narrative &amp; Measures'!$CD$28:$CD$67,"&gt;="&amp;W$321))</f>
        <v>25900</v>
      </c>
      <c r="W317" s="483"/>
    </row>
    <row r="318" spans="1:23" s="375" customFormat="1">
      <c r="A318" s="375" t="str">
        <f t="shared" si="197"/>
        <v>Alternative 2</v>
      </c>
      <c r="B318" s="775">
        <f>MAX('Building Info &amp; Assumptions'!$E$148:$E$159)</f>
        <v>22100</v>
      </c>
      <c r="C318" s="479" cm="1">
        <f t="array" ref="C318">$B318-SUM(SUMIFS('Narrative &amp; Measures'!$G$28:$G$67,'Narrative &amp; Measures'!$A$28:$A$67,Alternatives!$C$63:$C$82,'Narrative &amp; Measures'!$BW$28:$BW$67,"&lt;="&amp;C$321,'Narrative &amp; Measures'!$CE$28:$CE$67,"&gt;="&amp;D$321))</f>
        <v>22100</v>
      </c>
      <c r="D318" s="479" cm="1">
        <f t="array" ref="D318">$B318-SUM(SUMIFS('Narrative &amp; Measures'!$G$28:$G$67,'Narrative &amp; Measures'!$A$28:$A$67,Alternatives!$C$63:$C$82,'Narrative &amp; Measures'!$BW$28:$BW$67,"&lt;="&amp;D$321,'Narrative &amp; Measures'!$CE$28:$CE$67,"&gt;="&amp;E$321))</f>
        <v>22600</v>
      </c>
      <c r="E318" s="479" cm="1">
        <f t="array" ref="E318">$B318-SUM(SUMIFS('Narrative &amp; Measures'!$G$28:$G$67,'Narrative &amp; Measures'!$A$28:$A$67,Alternatives!$C$63:$C$82,'Narrative &amp; Measures'!$BW$28:$BW$67,"&lt;="&amp;E$321,'Narrative &amp; Measures'!$CE$28:$CE$67,"&gt;="&amp;F$321))</f>
        <v>22600</v>
      </c>
      <c r="F318" s="479" cm="1">
        <f t="array" ref="F318">$B318-SUM(SUMIFS('Narrative &amp; Measures'!$G$28:$G$67,'Narrative &amp; Measures'!$A$28:$A$67,Alternatives!$C$63:$C$82,'Narrative &amp; Measures'!$BW$28:$BW$67,"&lt;="&amp;F$321,'Narrative &amp; Measures'!$CE$28:$CE$67,"&gt;="&amp;G$321))</f>
        <v>22600</v>
      </c>
      <c r="G318" s="479" cm="1">
        <f t="array" ref="G318">$B318-SUM(SUMIFS('Narrative &amp; Measures'!$G$28:$G$67,'Narrative &amp; Measures'!$A$28:$A$67,Alternatives!$C$63:$C$82,'Narrative &amp; Measures'!$BW$28:$BW$67,"&lt;="&amp;G$321,'Narrative &amp; Measures'!$CE$28:$CE$67,"&gt;="&amp;H$321))</f>
        <v>22600</v>
      </c>
      <c r="H318" s="479" cm="1">
        <f t="array" ref="H318">$B318-SUM(SUMIFS('Narrative &amp; Measures'!$G$28:$G$67,'Narrative &amp; Measures'!$A$28:$A$67,Alternatives!$C$63:$C$82,'Narrative &amp; Measures'!$BW$28:$BW$67,"&lt;="&amp;H$321,'Narrative &amp; Measures'!$CE$28:$CE$67,"&gt;="&amp;I$321))</f>
        <v>22600</v>
      </c>
      <c r="I318" s="479" cm="1">
        <f t="array" ref="I318">$B318-SUM(SUMIFS('Narrative &amp; Measures'!$G$28:$G$67,'Narrative &amp; Measures'!$A$28:$A$67,Alternatives!$C$63:$C$82,'Narrative &amp; Measures'!$BW$28:$BW$67,"&lt;="&amp;I$321,'Narrative &amp; Measures'!$CE$28:$CE$67,"&gt;="&amp;J$321))</f>
        <v>22600</v>
      </c>
      <c r="J318" s="479" cm="1">
        <f t="array" ref="J318">$B318-SUM(SUMIFS('Narrative &amp; Measures'!$G$28:$G$67,'Narrative &amp; Measures'!$A$28:$A$67,Alternatives!$C$63:$C$82,'Narrative &amp; Measures'!$BW$28:$BW$67,"&lt;="&amp;J$321,'Narrative &amp; Measures'!$CE$28:$CE$67,"&gt;="&amp;K$321))</f>
        <v>32400</v>
      </c>
      <c r="K318" s="479" cm="1">
        <f t="array" ref="K318">$B318-SUM(SUMIFS('Narrative &amp; Measures'!$G$28:$G$67,'Narrative &amp; Measures'!$A$28:$A$67,Alternatives!$C$63:$C$82,'Narrative &amp; Measures'!$BW$28:$BW$67,"&lt;="&amp;K$321,'Narrative &amp; Measures'!$CE$28:$CE$67,"&gt;="&amp;L$321))</f>
        <v>32400</v>
      </c>
      <c r="L318" s="479" cm="1">
        <f t="array" ref="L318">$B318-SUM(SUMIFS('Narrative &amp; Measures'!$G$28:$G$67,'Narrative &amp; Measures'!$A$28:$A$67,Alternatives!$C$63:$C$82,'Narrative &amp; Measures'!$BW$28:$BW$67,"&lt;="&amp;L$321,'Narrative &amp; Measures'!$CE$28:$CE$67,"&gt;="&amp;M$321))</f>
        <v>32400</v>
      </c>
      <c r="M318" s="479" cm="1">
        <f t="array" ref="M318">$B318-SUM(SUMIFS('Narrative &amp; Measures'!$G$28:$G$67,'Narrative &amp; Measures'!$A$28:$A$67,Alternatives!$C$63:$C$82,'Narrative &amp; Measures'!$BW$28:$BW$67,"&lt;="&amp;M$321,'Narrative &amp; Measures'!$CE$28:$CE$67,"&gt;="&amp;N$321))</f>
        <v>32400</v>
      </c>
      <c r="N318" s="479" cm="1">
        <f t="array" ref="N318">$B318-SUM(SUMIFS('Narrative &amp; Measures'!$G$28:$G$67,'Narrative &amp; Measures'!$A$28:$A$67,Alternatives!$C$63:$C$82,'Narrative &amp; Measures'!$BW$28:$BW$67,"&lt;="&amp;N$321,'Narrative &amp; Measures'!$CE$28:$CE$67,"&gt;="&amp;O$321))</f>
        <v>32400</v>
      </c>
      <c r="O318" s="479" cm="1">
        <f t="array" ref="O318">$B318-SUM(SUMIFS('Narrative &amp; Measures'!$G$28:$G$67,'Narrative &amp; Measures'!$A$28:$A$67,Alternatives!$C$63:$C$82,'Narrative &amp; Measures'!$BW$28:$BW$67,"&lt;="&amp;O$321,'Narrative &amp; Measures'!$CE$28:$CE$67,"&gt;="&amp;P$321))</f>
        <v>32400</v>
      </c>
      <c r="P318" s="479" cm="1">
        <f t="array" ref="P318">$B318-SUM(SUMIFS('Narrative &amp; Measures'!$G$28:$G$67,'Narrative &amp; Measures'!$A$28:$A$67,Alternatives!$C$63:$C$82,'Narrative &amp; Measures'!$BW$28:$BW$67,"&lt;="&amp;P$321,'Narrative &amp; Measures'!$CE$28:$CE$67,"&gt;="&amp;Q$321))</f>
        <v>32400</v>
      </c>
      <c r="Q318" s="479" cm="1">
        <f t="array" ref="Q318">$B318-SUM(SUMIFS('Narrative &amp; Measures'!$G$28:$G$67,'Narrative &amp; Measures'!$A$28:$A$67,Alternatives!$C$63:$C$82,'Narrative &amp; Measures'!$BW$28:$BW$67,"&lt;="&amp;Q$321,'Narrative &amp; Measures'!$CE$28:$CE$67,"&gt;="&amp;R$321))</f>
        <v>32400</v>
      </c>
      <c r="R318" s="479" cm="1">
        <f t="array" ref="R318">$B318-SUM(SUMIFS('Narrative &amp; Measures'!$G$28:$G$67,'Narrative &amp; Measures'!$A$28:$A$67,Alternatives!$C$63:$C$82,'Narrative &amp; Measures'!$BW$28:$BW$67,"&lt;="&amp;R$321,'Narrative &amp; Measures'!$CE$28:$CE$67,"&gt;="&amp;S$321))</f>
        <v>32400</v>
      </c>
      <c r="S318" s="479" cm="1">
        <f t="array" ref="S318">$B318-SUM(SUMIFS('Narrative &amp; Measures'!$G$28:$G$67,'Narrative &amp; Measures'!$A$28:$A$67,Alternatives!$C$63:$C$82,'Narrative &amp; Measures'!$BW$28:$BW$67,"&lt;="&amp;S$321,'Narrative &amp; Measures'!$CE$28:$CE$67,"&gt;="&amp;T$321))</f>
        <v>31900</v>
      </c>
      <c r="T318" s="479" cm="1">
        <f t="array" ref="T318">$B318-SUM(SUMIFS('Narrative &amp; Measures'!$G$28:$G$67,'Narrative &amp; Measures'!$A$28:$A$67,Alternatives!$C$63:$C$82,'Narrative &amp; Measures'!$BW$28:$BW$67,"&lt;="&amp;T$321,'Narrative &amp; Measures'!$CE$28:$CE$67,"&gt;="&amp;U$321))</f>
        <v>31900</v>
      </c>
      <c r="U318" s="479" cm="1">
        <f t="array" ref="U318">$B318-SUM(SUMIFS('Narrative &amp; Measures'!$G$28:$G$67,'Narrative &amp; Measures'!$A$28:$A$67,Alternatives!$C$63:$C$82,'Narrative &amp; Measures'!$BW$28:$BW$67,"&lt;="&amp;U$321,'Narrative &amp; Measures'!$CE$28:$CE$67,"&gt;="&amp;V$321))</f>
        <v>31900</v>
      </c>
      <c r="V318" s="479" cm="1">
        <f t="array" ref="V318">$B318-SUM(SUMIFS('Narrative &amp; Measures'!$G$28:$G$67,'Narrative &amp; Measures'!$A$28:$A$67,Alternatives!$C$63:$C$82,'Narrative &amp; Measures'!$BW$28:$BW$67,"&lt;="&amp;V$321,'Narrative &amp; Measures'!$CE$28:$CE$67,"&gt;="&amp;W$321))</f>
        <v>31900</v>
      </c>
      <c r="W318" s="483"/>
    </row>
    <row r="319" spans="1:23" s="375" customFormat="1">
      <c r="A319" s="375" t="str">
        <f t="shared" si="197"/>
        <v>Alternative 3</v>
      </c>
      <c r="B319" s="775">
        <f>MAX('Building Info &amp; Assumptions'!$E$148:$E$159)</f>
        <v>22100</v>
      </c>
      <c r="C319" s="479" cm="1">
        <f t="array" ref="C319">$B319-SUM(SUMIFS('Narrative &amp; Measures'!$G$28:$G$67,'Narrative &amp; Measures'!$A$28:$A$67,Alternatives!$C$88:$C$107,'Narrative &amp; Measures'!$BX$28:$BX$67,"&lt;="&amp;C$321,'Narrative &amp; Measures'!$CF$28:$CF$67,"&gt;="&amp;D$321))</f>
        <v>22100</v>
      </c>
      <c r="D319" s="479" cm="1">
        <f t="array" ref="D319">$B319-SUM(SUMIFS('Narrative &amp; Measures'!$G$28:$G$67,'Narrative &amp; Measures'!$A$28:$A$67,Alternatives!$C$88:$C$107,'Narrative &amp; Measures'!$BX$28:$BX$67,"&lt;="&amp;D$321,'Narrative &amp; Measures'!$CF$28:$CF$67,"&gt;="&amp;E$321))</f>
        <v>24100</v>
      </c>
      <c r="E319" s="479" cm="1">
        <f t="array" ref="E319">$B319-SUM(SUMIFS('Narrative &amp; Measures'!$G$28:$G$67,'Narrative &amp; Measures'!$A$28:$A$67,Alternatives!$C$88:$C$107,'Narrative &amp; Measures'!$BX$28:$BX$67,"&lt;="&amp;E$321,'Narrative &amp; Measures'!$CF$28:$CF$67,"&gt;="&amp;F$321))</f>
        <v>24100</v>
      </c>
      <c r="F319" s="479" cm="1">
        <f t="array" ref="F319">$B319-SUM(SUMIFS('Narrative &amp; Measures'!$G$28:$G$67,'Narrative &amp; Measures'!$A$28:$A$67,Alternatives!$C$88:$C$107,'Narrative &amp; Measures'!$BX$28:$BX$67,"&lt;="&amp;F$321,'Narrative &amp; Measures'!$CF$28:$CF$67,"&gt;="&amp;G$321))</f>
        <v>24100</v>
      </c>
      <c r="G319" s="479" cm="1">
        <f t="array" ref="G319">$B319-SUM(SUMIFS('Narrative &amp; Measures'!$G$28:$G$67,'Narrative &amp; Measures'!$A$28:$A$67,Alternatives!$C$88:$C$107,'Narrative &amp; Measures'!$BX$28:$BX$67,"&lt;="&amp;G$321,'Narrative &amp; Measures'!$CF$28:$CF$67,"&gt;="&amp;H$321))</f>
        <v>24100</v>
      </c>
      <c r="H319" s="479" cm="1">
        <f t="array" ref="H319">$B319-SUM(SUMIFS('Narrative &amp; Measures'!$G$28:$G$67,'Narrative &amp; Measures'!$A$28:$A$67,Alternatives!$C$88:$C$107,'Narrative &amp; Measures'!$BX$28:$BX$67,"&lt;="&amp;H$321,'Narrative &amp; Measures'!$CF$28:$CF$67,"&gt;="&amp;I$321))</f>
        <v>24100</v>
      </c>
      <c r="I319" s="479" cm="1">
        <f t="array" ref="I319">$B319-SUM(SUMIFS('Narrative &amp; Measures'!$G$28:$G$67,'Narrative &amp; Measures'!$A$28:$A$67,Alternatives!$C$88:$C$107,'Narrative &amp; Measures'!$BX$28:$BX$67,"&lt;="&amp;I$321,'Narrative &amp; Measures'!$CF$28:$CF$67,"&gt;="&amp;J$321))</f>
        <v>33900</v>
      </c>
      <c r="J319" s="479" cm="1">
        <f t="array" ref="J319">$B319-SUM(SUMIFS('Narrative &amp; Measures'!$G$28:$G$67,'Narrative &amp; Measures'!$A$28:$A$67,Alternatives!$C$88:$C$107,'Narrative &amp; Measures'!$BX$28:$BX$67,"&lt;="&amp;J$321,'Narrative &amp; Measures'!$CF$28:$CF$67,"&gt;="&amp;K$321))</f>
        <v>33900</v>
      </c>
      <c r="K319" s="479" cm="1">
        <f t="array" ref="K319">$B319-SUM(SUMIFS('Narrative &amp; Measures'!$G$28:$G$67,'Narrative &amp; Measures'!$A$28:$A$67,Alternatives!$C$88:$C$107,'Narrative &amp; Measures'!$BX$28:$BX$67,"&lt;="&amp;K$321,'Narrative &amp; Measures'!$CF$28:$CF$67,"&gt;="&amp;L$321))</f>
        <v>33900</v>
      </c>
      <c r="L319" s="479" cm="1">
        <f t="array" ref="L319">$B319-SUM(SUMIFS('Narrative &amp; Measures'!$G$28:$G$67,'Narrative &amp; Measures'!$A$28:$A$67,Alternatives!$C$88:$C$107,'Narrative &amp; Measures'!$BX$28:$BX$67,"&lt;="&amp;L$321,'Narrative &amp; Measures'!$CF$28:$CF$67,"&gt;="&amp;M$321))</f>
        <v>33900</v>
      </c>
      <c r="M319" s="479" cm="1">
        <f t="array" ref="M319">$B319-SUM(SUMIFS('Narrative &amp; Measures'!$G$28:$G$67,'Narrative &amp; Measures'!$A$28:$A$67,Alternatives!$C$88:$C$107,'Narrative &amp; Measures'!$BX$28:$BX$67,"&lt;="&amp;M$321,'Narrative &amp; Measures'!$CF$28:$CF$67,"&gt;="&amp;N$321))</f>
        <v>33900</v>
      </c>
      <c r="N319" s="479" cm="1">
        <f t="array" ref="N319">$B319-SUM(SUMIFS('Narrative &amp; Measures'!$G$28:$G$67,'Narrative &amp; Measures'!$A$28:$A$67,Alternatives!$C$88:$C$107,'Narrative &amp; Measures'!$BX$28:$BX$67,"&lt;="&amp;N$321,'Narrative &amp; Measures'!$CF$28:$CF$67,"&gt;="&amp;O$321))</f>
        <v>33900</v>
      </c>
      <c r="O319" s="479" cm="1">
        <f t="array" ref="O319">$B319-SUM(SUMIFS('Narrative &amp; Measures'!$G$28:$G$67,'Narrative &amp; Measures'!$A$28:$A$67,Alternatives!$C$88:$C$107,'Narrative &amp; Measures'!$BX$28:$BX$67,"&lt;="&amp;O$321,'Narrative &amp; Measures'!$CF$28:$CF$67,"&gt;="&amp;P$321))</f>
        <v>33900</v>
      </c>
      <c r="P319" s="479" cm="1">
        <f t="array" ref="P319">$B319-SUM(SUMIFS('Narrative &amp; Measures'!$G$28:$G$67,'Narrative &amp; Measures'!$A$28:$A$67,Alternatives!$C$88:$C$107,'Narrative &amp; Measures'!$BX$28:$BX$67,"&lt;="&amp;P$321,'Narrative &amp; Measures'!$CF$28:$CF$67,"&gt;="&amp;Q$321))</f>
        <v>33900</v>
      </c>
      <c r="Q319" s="479" cm="1">
        <f t="array" ref="Q319">$B319-SUM(SUMIFS('Narrative &amp; Measures'!$G$28:$G$67,'Narrative &amp; Measures'!$A$28:$A$67,Alternatives!$C$88:$C$107,'Narrative &amp; Measures'!$BX$28:$BX$67,"&lt;="&amp;Q$321,'Narrative &amp; Measures'!$CF$28:$CF$67,"&gt;="&amp;R$321))</f>
        <v>33900</v>
      </c>
      <c r="R319" s="479" cm="1">
        <f t="array" ref="R319">$B319-SUM(SUMIFS('Narrative &amp; Measures'!$G$28:$G$67,'Narrative &amp; Measures'!$A$28:$A$67,Alternatives!$C$88:$C$107,'Narrative &amp; Measures'!$BX$28:$BX$67,"&lt;="&amp;R$321,'Narrative &amp; Measures'!$CF$28:$CF$67,"&gt;="&amp;S$321))</f>
        <v>33900</v>
      </c>
      <c r="S319" s="479" cm="1">
        <f t="array" ref="S319">$B319-SUM(SUMIFS('Narrative &amp; Measures'!$G$28:$G$67,'Narrative &amp; Measures'!$A$28:$A$67,Alternatives!$C$88:$C$107,'Narrative &amp; Measures'!$BX$28:$BX$67,"&lt;="&amp;S$321,'Narrative &amp; Measures'!$CF$28:$CF$67,"&gt;="&amp;T$321))</f>
        <v>31900</v>
      </c>
      <c r="T319" s="479" cm="1">
        <f t="array" ref="T319">$B319-SUM(SUMIFS('Narrative &amp; Measures'!$G$28:$G$67,'Narrative &amp; Measures'!$A$28:$A$67,Alternatives!$C$88:$C$107,'Narrative &amp; Measures'!$BX$28:$BX$67,"&lt;="&amp;T$321,'Narrative &amp; Measures'!$CF$28:$CF$67,"&gt;="&amp;U$321))</f>
        <v>31900</v>
      </c>
      <c r="U319" s="479" cm="1">
        <f t="array" ref="U319">$B319-SUM(SUMIFS('Narrative &amp; Measures'!$G$28:$G$67,'Narrative &amp; Measures'!$A$28:$A$67,Alternatives!$C$88:$C$107,'Narrative &amp; Measures'!$BX$28:$BX$67,"&lt;="&amp;U$321,'Narrative &amp; Measures'!$CF$28:$CF$67,"&gt;="&amp;V$321))</f>
        <v>31900</v>
      </c>
      <c r="V319" s="479" cm="1">
        <f t="array" ref="V319">$B319-SUM(SUMIFS('Narrative &amp; Measures'!$G$28:$G$67,'Narrative &amp; Measures'!$A$28:$A$67,Alternatives!$C$88:$C$107,'Narrative &amp; Measures'!$BX$28:$BX$67,"&lt;="&amp;V$321,'Narrative &amp; Measures'!$CF$28:$CF$67,"&gt;="&amp;W$321))</f>
        <v>31900</v>
      </c>
      <c r="W319" s="483"/>
    </row>
    <row r="320" spans="1:23" s="375" customFormat="1">
      <c r="B320" s="720"/>
      <c r="C320" s="486"/>
      <c r="D320" s="720"/>
      <c r="E320" s="486"/>
      <c r="F320" s="486"/>
      <c r="G320" s="486"/>
      <c r="H320" s="486"/>
      <c r="I320" s="486"/>
      <c r="K320" s="486"/>
      <c r="L320" s="486"/>
      <c r="M320" s="486"/>
      <c r="N320" s="486"/>
      <c r="P320" s="484"/>
      <c r="Q320" s="484"/>
      <c r="R320" s="598"/>
      <c r="S320" s="598"/>
      <c r="U320" s="485"/>
      <c r="V320" s="483"/>
      <c r="W320" s="483"/>
    </row>
    <row r="321" spans="1:23" s="375" customFormat="1">
      <c r="A321" s="375" t="s">
        <v>617</v>
      </c>
      <c r="B321" s="479">
        <v>0</v>
      </c>
      <c r="C321" s="479">
        <v>1</v>
      </c>
      <c r="D321" s="479">
        <v>2</v>
      </c>
      <c r="E321" s="479">
        <v>3</v>
      </c>
      <c r="F321" s="479">
        <v>4</v>
      </c>
      <c r="G321" s="479">
        <v>5</v>
      </c>
      <c r="H321" s="479">
        <v>6</v>
      </c>
      <c r="I321" s="479">
        <v>7</v>
      </c>
      <c r="J321" s="479">
        <v>8</v>
      </c>
      <c r="K321" s="479">
        <v>9</v>
      </c>
      <c r="L321" s="479">
        <v>10</v>
      </c>
      <c r="M321" s="479">
        <v>11</v>
      </c>
      <c r="N321" s="479">
        <v>12</v>
      </c>
      <c r="O321" s="479">
        <v>13</v>
      </c>
      <c r="P321" s="479">
        <v>14</v>
      </c>
      <c r="Q321" s="479">
        <v>15</v>
      </c>
      <c r="R321" s="479">
        <v>16</v>
      </c>
      <c r="S321" s="479">
        <v>17</v>
      </c>
      <c r="T321" s="479">
        <v>18</v>
      </c>
      <c r="U321" s="479">
        <v>19</v>
      </c>
      <c r="V321" s="479">
        <v>20</v>
      </c>
      <c r="W321" s="375">
        <v>21</v>
      </c>
    </row>
    <row r="322" spans="1:23" s="375" customFormat="1">
      <c r="A322" s="375" t="str">
        <f t="shared" ref="A322:A327" si="199">A298</f>
        <v>Baseline Reactive (Cap Op St+IR DM)</v>
      </c>
      <c r="B322" s="375">
        <f>'Building Info &amp; Assumptions'!$B$347</f>
        <v>49400000</v>
      </c>
      <c r="C322" s="479">
        <f>$B$322-IF(C$321&gt;=Alternatives!$I$16,SUMIFS('Narrative &amp; Measures'!$H$28:$H$67,'Narrative &amp; Measures'!$B$28:$B$67,"Deferred Maintenance",'Narrative &amp; Measures'!$T$28:$T$67,"&gt;="&amp;(D$321-Alternatives!$I$16)),0)-IF(C$321&gt;=Alternatives!$I$15,SUMIFS('Narrative &amp; Measures'!$H$28:$H$67,'Narrative &amp; Measures'!$B$28:$B$67,"Immediate Repairs: Life Safety &amp; Critical",'Narrative &amp; Measures'!$T$28:$T$67,"&gt;="&amp;(D$321-Alternatives!$I$15)),0)-IF(C$321&gt;=Alternatives!$I$20,'Equipment Inventory'!$BO$11,0)-IF(C$321&gt;=Alternatives!$I$21,'Equipment Inventory'!$BO$12,0)-IF(C$321&gt;=Alternatives!$I$22,'Equipment Inventory'!$BO$13,0)-IF(C$321&gt;=Alternatives!$I$23,'Equipment Inventory'!$BO$14,0)</f>
        <v>49400000</v>
      </c>
      <c r="D322" s="479">
        <f ca="1">$B$322-IF(D$321&gt;=Alternatives!$I$16,SUMIFS('Narrative &amp; Measures'!$H$28:$H$67,'Narrative &amp; Measures'!$B$28:$B$67,"Deferred Maintenance",'Narrative &amp; Measures'!$T$28:$T$67,"&gt;="&amp;(E$321-Alternatives!$I$16)),0)-IF(D$321&gt;=Alternatives!$I$15,SUMIFS('Narrative &amp; Measures'!$H$28:$H$67,'Narrative &amp; Measures'!$B$28:$B$67,"Immediate Repairs: Life Safety &amp; Critical",'Narrative &amp; Measures'!$T$28:$T$67,"&gt;="&amp;(E$321-Alternatives!$I$16)),0)-IF(D$321&gt;=Alternatives!$I$20,'Equipment Inventory'!$BO$11,0)-IF(D$321&gt;=Alternatives!$I$21,'Equipment Inventory'!$BO$12,0)-IF(D$321&gt;=Alternatives!$I$22,'Equipment Inventory'!$BO$13,0)-IF(D$321&gt;=Alternatives!$I$23,'Equipment Inventory'!$BO$14,0)</f>
        <v>49103600</v>
      </c>
      <c r="E322" s="479">
        <f ca="1">$B$322-IF(E$321&gt;=Alternatives!$I$16,SUMIFS('Narrative &amp; Measures'!$H$28:$H$67,'Narrative &amp; Measures'!$B$28:$B$67,"Deferred Maintenance",'Narrative &amp; Measures'!$T$28:$T$67,"&gt;="&amp;(F$321-Alternatives!$I$16)),0)-IF(E$321&gt;=Alternatives!$I$15,SUMIFS('Narrative &amp; Measures'!$H$28:$H$67,'Narrative &amp; Measures'!$B$28:$B$67,"Immediate Repairs: Life Safety &amp; Critical",'Narrative &amp; Measures'!$T$28:$T$67,"&gt;="&amp;(F$321-Alternatives!$I$16)),0)-IF(E$321&gt;=Alternatives!$I$20,'Equipment Inventory'!$BO$11,0)-IF(E$321&gt;=Alternatives!$I$21,'Equipment Inventory'!$BO$12,0)-IF(E$321&gt;=Alternatives!$I$22,'Equipment Inventory'!$BO$13,0)-IF(E$321&gt;=Alternatives!$I$23,'Equipment Inventory'!$BO$14,0)</f>
        <v>49103600</v>
      </c>
      <c r="F322" s="479">
        <f ca="1">$B$322-IF(F$321&gt;=Alternatives!$I$16,SUMIFS('Narrative &amp; Measures'!$H$28:$H$67,'Narrative &amp; Measures'!$B$28:$B$67,"Deferred Maintenance",'Narrative &amp; Measures'!$T$28:$T$67,"&gt;="&amp;(G$321-Alternatives!$I$16)),0)-IF(F$321&gt;=Alternatives!$I$15,SUMIFS('Narrative &amp; Measures'!$H$28:$H$67,'Narrative &amp; Measures'!$B$28:$B$67,"Immediate Repairs: Life Safety &amp; Critical",'Narrative &amp; Measures'!$T$28:$T$67,"&gt;="&amp;(G$321-Alternatives!$I$16)),0)-IF(F$321&gt;=Alternatives!$I$20,'Equipment Inventory'!$BO$11,0)-IF(F$321&gt;=Alternatives!$I$21,'Equipment Inventory'!$BO$12,0)-IF(F$321&gt;=Alternatives!$I$22,'Equipment Inventory'!$BO$13,0)-IF(F$321&gt;=Alternatives!$I$23,'Equipment Inventory'!$BO$14,0)</f>
        <v>49103600</v>
      </c>
      <c r="G322" s="479">
        <f ca="1">$B$322-IF(G$321&gt;=Alternatives!$I$16,SUMIFS('Narrative &amp; Measures'!$H$28:$H$67,'Narrative &amp; Measures'!$B$28:$B$67,"Deferred Maintenance",'Narrative &amp; Measures'!$T$28:$T$67,"&gt;="&amp;(H$321-Alternatives!$I$16)),0)-IF(G$321&gt;=Alternatives!$I$15,SUMIFS('Narrative &amp; Measures'!$H$28:$H$67,'Narrative &amp; Measures'!$B$28:$B$67,"Immediate Repairs: Life Safety &amp; Critical",'Narrative &amp; Measures'!$T$28:$T$67,"&gt;="&amp;(H$321-Alternatives!$I$16)),0)-IF(G$321&gt;=Alternatives!$I$20,'Equipment Inventory'!$BO$11,0)-IF(G$321&gt;=Alternatives!$I$21,'Equipment Inventory'!$BO$12,0)-IF(G$321&gt;=Alternatives!$I$22,'Equipment Inventory'!$BO$13,0)-IF(G$321&gt;=Alternatives!$I$23,'Equipment Inventory'!$BO$14,0)</f>
        <v>49103600</v>
      </c>
      <c r="H322" s="479">
        <f ca="1">$B$322-IF(H$321&gt;=Alternatives!$I$16,SUMIFS('Narrative &amp; Measures'!$H$28:$H$67,'Narrative &amp; Measures'!$B$28:$B$67,"Deferred Maintenance",'Narrative &amp; Measures'!$T$28:$T$67,"&gt;="&amp;(I$321-Alternatives!$I$16)),0)-IF(H$321&gt;=Alternatives!$I$15,SUMIFS('Narrative &amp; Measures'!$H$28:$H$67,'Narrative &amp; Measures'!$B$28:$B$67,"Immediate Repairs: Life Safety &amp; Critical",'Narrative &amp; Measures'!$T$28:$T$67,"&gt;="&amp;(I$321-Alternatives!$I$16)),0)-IF(H$321&gt;=Alternatives!$I$20,'Equipment Inventory'!$BO$11,0)-IF(H$321&gt;=Alternatives!$I$21,'Equipment Inventory'!$BO$12,0)-IF(H$321&gt;=Alternatives!$I$22,'Equipment Inventory'!$BO$13,0)-IF(H$321&gt;=Alternatives!$I$23,'Equipment Inventory'!$BO$14,0)</f>
        <v>49103600</v>
      </c>
      <c r="I322" s="479">
        <f ca="1">$B$322-IF(I$321&gt;=Alternatives!$I$16,SUMIFS('Narrative &amp; Measures'!$H$28:$H$67,'Narrative &amp; Measures'!$B$28:$B$67,"Deferred Maintenance",'Narrative &amp; Measures'!$T$28:$T$67,"&gt;="&amp;(J$321-Alternatives!$I$16)),0)-IF(I$321&gt;=Alternatives!$I$15,SUMIFS('Narrative &amp; Measures'!$H$28:$H$67,'Narrative &amp; Measures'!$B$28:$B$67,"Immediate Repairs: Life Safety &amp; Critical",'Narrative &amp; Measures'!$T$28:$T$67,"&gt;="&amp;(J$321-Alternatives!$I$16)),0)-IF(I$321&gt;=Alternatives!$I$20,'Equipment Inventory'!$BO$11,0)-IF(I$321&gt;=Alternatives!$I$21,'Equipment Inventory'!$BO$12,0)-IF(I$321&gt;=Alternatives!$I$22,'Equipment Inventory'!$BO$13,0)-IF(I$321&gt;=Alternatives!$I$23,'Equipment Inventory'!$BO$14,0)</f>
        <v>48560200</v>
      </c>
      <c r="J322" s="479">
        <f ca="1">$B$322-IF(J$321&gt;=Alternatives!$I$16,SUMIFS('Narrative &amp; Measures'!$H$28:$H$67,'Narrative &amp; Measures'!$B$28:$B$67,"Deferred Maintenance",'Narrative &amp; Measures'!$T$28:$T$67,"&gt;="&amp;(K$321-Alternatives!$I$16)),0)-IF(J$321&gt;=Alternatives!$I$15,SUMIFS('Narrative &amp; Measures'!$H$28:$H$67,'Narrative &amp; Measures'!$B$28:$B$67,"Immediate Repairs: Life Safety &amp; Critical",'Narrative &amp; Measures'!$T$28:$T$67,"&gt;="&amp;(K$321-Alternatives!$I$16)),0)-IF(J$321&gt;=Alternatives!$I$20,'Equipment Inventory'!$BO$11,0)-IF(J$321&gt;=Alternatives!$I$21,'Equipment Inventory'!$BO$12,0)-IF(J$321&gt;=Alternatives!$I$22,'Equipment Inventory'!$BO$13,0)-IF(J$321&gt;=Alternatives!$I$23,'Equipment Inventory'!$BO$14,0)</f>
        <v>48560200</v>
      </c>
      <c r="K322" s="479">
        <f ca="1">$B$322-IF(K$321&gt;=Alternatives!$I$16,SUMIFS('Narrative &amp; Measures'!$H$28:$H$67,'Narrative &amp; Measures'!$B$28:$B$67,"Deferred Maintenance",'Narrative &amp; Measures'!$T$28:$T$67,"&gt;="&amp;(L$321-Alternatives!$I$16)),0)-IF(K$321&gt;=Alternatives!$I$15,SUMIFS('Narrative &amp; Measures'!$H$28:$H$67,'Narrative &amp; Measures'!$B$28:$B$67,"Immediate Repairs: Life Safety &amp; Critical",'Narrative &amp; Measures'!$T$28:$T$67,"&gt;="&amp;(L$321-Alternatives!$I$16)),0)-IF(K$321&gt;=Alternatives!$I$20,'Equipment Inventory'!$BO$11,0)-IF(K$321&gt;=Alternatives!$I$21,'Equipment Inventory'!$BO$12,0)-IF(K$321&gt;=Alternatives!$I$22,'Equipment Inventory'!$BO$13,0)-IF(K$321&gt;=Alternatives!$I$23,'Equipment Inventory'!$BO$14,0)</f>
        <v>48560200</v>
      </c>
      <c r="L322" s="479">
        <f ca="1">$B$322-IF(L$321&gt;=Alternatives!$I$16,SUMIFS('Narrative &amp; Measures'!$H$28:$H$67,'Narrative &amp; Measures'!$B$28:$B$67,"Deferred Maintenance",'Narrative &amp; Measures'!$T$28:$T$67,"&gt;="&amp;(M$321-Alternatives!$I$16)),0)-IF(L$321&gt;=Alternatives!$I$15,SUMIFS('Narrative &amp; Measures'!$H$28:$H$67,'Narrative &amp; Measures'!$B$28:$B$67,"Immediate Repairs: Life Safety &amp; Critical",'Narrative &amp; Measures'!$T$28:$T$67,"&gt;="&amp;(M$321-Alternatives!$I$16)),0)-IF(L$321&gt;=Alternatives!$I$20,'Equipment Inventory'!$BO$11,0)-IF(L$321&gt;=Alternatives!$I$21,'Equipment Inventory'!$BO$12,0)-IF(L$321&gt;=Alternatives!$I$22,'Equipment Inventory'!$BO$13,0)-IF(L$321&gt;=Alternatives!$I$23,'Equipment Inventory'!$BO$14,0)</f>
        <v>48560200</v>
      </c>
      <c r="M322" s="479">
        <f ca="1">$B$322-IF(M$321&gt;=Alternatives!$I$16,SUMIFS('Narrative &amp; Measures'!$H$28:$H$67,'Narrative &amp; Measures'!$B$28:$B$67,"Deferred Maintenance",'Narrative &amp; Measures'!$T$28:$T$67,"&gt;="&amp;(N$321-Alternatives!$I$16)),0)-IF(M$321&gt;=Alternatives!$I$15,SUMIFS('Narrative &amp; Measures'!$H$28:$H$67,'Narrative &amp; Measures'!$B$28:$B$67,"Immediate Repairs: Life Safety &amp; Critical",'Narrative &amp; Measures'!$T$28:$T$67,"&gt;="&amp;(N$321-Alternatives!$I$16)),0)-IF(M$321&gt;=Alternatives!$I$20,'Equipment Inventory'!$BO$11,0)-IF(M$321&gt;=Alternatives!$I$21,'Equipment Inventory'!$BO$12,0)-IF(M$321&gt;=Alternatives!$I$22,'Equipment Inventory'!$BO$13,0)-IF(M$321&gt;=Alternatives!$I$23,'Equipment Inventory'!$BO$14,0)</f>
        <v>48560200</v>
      </c>
      <c r="N322" s="479">
        <f ca="1">$B$322-IF(N$321&gt;=Alternatives!$I$16,SUMIFS('Narrative &amp; Measures'!$H$28:$H$67,'Narrative &amp; Measures'!$B$28:$B$67,"Deferred Maintenance",'Narrative &amp; Measures'!$T$28:$T$67,"&gt;="&amp;(O$321-Alternatives!$I$16)),0)-IF(N$321&gt;=Alternatives!$I$15,SUMIFS('Narrative &amp; Measures'!$H$28:$H$67,'Narrative &amp; Measures'!$B$28:$B$67,"Immediate Repairs: Life Safety &amp; Critical",'Narrative &amp; Measures'!$T$28:$T$67,"&gt;="&amp;(O$321-Alternatives!$I$16)),0)-IF(N$321&gt;=Alternatives!$I$20,'Equipment Inventory'!$BO$11,0)-IF(N$321&gt;=Alternatives!$I$21,'Equipment Inventory'!$BO$12,0)-IF(N$321&gt;=Alternatives!$I$22,'Equipment Inventory'!$BO$13,0)-IF(N$321&gt;=Alternatives!$I$23,'Equipment Inventory'!$BO$14,0)</f>
        <v>48412000</v>
      </c>
      <c r="O322" s="479">
        <f ca="1">$B$322-IF(O$321&gt;=Alternatives!$I$16,SUMIFS('Narrative &amp; Measures'!$H$28:$H$67,'Narrative &amp; Measures'!$B$28:$B$67,"Deferred Maintenance",'Narrative &amp; Measures'!$T$28:$T$67,"&gt;="&amp;(P$321-Alternatives!$I$16)),0)-IF(O$321&gt;=Alternatives!$I$15,SUMIFS('Narrative &amp; Measures'!$H$28:$H$67,'Narrative &amp; Measures'!$B$28:$B$67,"Immediate Repairs: Life Safety &amp; Critical",'Narrative &amp; Measures'!$T$28:$T$67,"&gt;="&amp;(P$321-Alternatives!$I$16)),0)-IF(O$321&gt;=Alternatives!$I$20,'Equipment Inventory'!$BO$11,0)-IF(O$321&gt;=Alternatives!$I$21,'Equipment Inventory'!$BO$12,0)-IF(O$321&gt;=Alternatives!$I$22,'Equipment Inventory'!$BO$13,0)-IF(O$321&gt;=Alternatives!$I$23,'Equipment Inventory'!$BO$14,0)</f>
        <v>48412000</v>
      </c>
      <c r="P322" s="479">
        <f ca="1">$B$322-IF(P$321&gt;=Alternatives!$I$16,SUMIFS('Narrative &amp; Measures'!$H$28:$H$67,'Narrative &amp; Measures'!$B$28:$B$67,"Deferred Maintenance",'Narrative &amp; Measures'!$T$28:$T$67,"&gt;="&amp;(Q$321-Alternatives!$I$16)),0)-IF(P$321&gt;=Alternatives!$I$15,SUMIFS('Narrative &amp; Measures'!$H$28:$H$67,'Narrative &amp; Measures'!$B$28:$B$67,"Immediate Repairs: Life Safety &amp; Critical",'Narrative &amp; Measures'!$T$28:$T$67,"&gt;="&amp;(Q$321-Alternatives!$I$16)),0)-IF(P$321&gt;=Alternatives!$I$20,'Equipment Inventory'!$BO$11,0)-IF(P$321&gt;=Alternatives!$I$21,'Equipment Inventory'!$BO$12,0)-IF(P$321&gt;=Alternatives!$I$22,'Equipment Inventory'!$BO$13,0)-IF(P$321&gt;=Alternatives!$I$23,'Equipment Inventory'!$BO$14,0)</f>
        <v>48412000</v>
      </c>
      <c r="Q322" s="479">
        <f ca="1">$B$322-IF(Q$321&gt;=Alternatives!$I$16,SUMIFS('Narrative &amp; Measures'!$H$28:$H$67,'Narrative &amp; Measures'!$B$28:$B$67,"Deferred Maintenance",'Narrative &amp; Measures'!$T$28:$T$67,"&gt;="&amp;(R$321-Alternatives!$I$16)),0)-IF(Q$321&gt;=Alternatives!$I$15,SUMIFS('Narrative &amp; Measures'!$H$28:$H$67,'Narrative &amp; Measures'!$B$28:$B$67,"Immediate Repairs: Life Safety &amp; Critical",'Narrative &amp; Measures'!$T$28:$T$67,"&gt;="&amp;(R$321-Alternatives!$I$16)),0)-IF(Q$321&gt;=Alternatives!$I$20,'Equipment Inventory'!$BO$11,0)-IF(Q$321&gt;=Alternatives!$I$21,'Equipment Inventory'!$BO$12,0)-IF(Q$321&gt;=Alternatives!$I$22,'Equipment Inventory'!$BO$13,0)-IF(Q$321&gt;=Alternatives!$I$23,'Equipment Inventory'!$BO$14,0)</f>
        <v>48412000</v>
      </c>
      <c r="R322" s="479">
        <f ca="1">$B$322-IF(R$321&gt;=Alternatives!$I$16,SUMIFS('Narrative &amp; Measures'!$H$28:$H$67,'Narrative &amp; Measures'!$B$28:$B$67,"Deferred Maintenance",'Narrative &amp; Measures'!$T$28:$T$67,"&gt;="&amp;(S$321-Alternatives!$I$16)),0)-IF(R$321&gt;=Alternatives!$I$15,SUMIFS('Narrative &amp; Measures'!$H$28:$H$67,'Narrative &amp; Measures'!$B$28:$B$67,"Immediate Repairs: Life Safety &amp; Critical",'Narrative &amp; Measures'!$T$28:$T$67,"&gt;="&amp;(S$321-Alternatives!$I$16)),0)-IF(R$321&gt;=Alternatives!$I$20,'Equipment Inventory'!$BO$11,0)-IF(R$321&gt;=Alternatives!$I$21,'Equipment Inventory'!$BO$12,0)-IF(R$321&gt;=Alternatives!$I$22,'Equipment Inventory'!$BO$13,0)-IF(R$321&gt;=Alternatives!$I$23,'Equipment Inventory'!$BO$14,0)</f>
        <v>48412000</v>
      </c>
      <c r="S322" s="479">
        <f ca="1">$B$322-IF(S$321&gt;=Alternatives!$I$16,SUMIFS('Narrative &amp; Measures'!$H$28:$H$67,'Narrative &amp; Measures'!$B$28:$B$67,"Deferred Maintenance",'Narrative &amp; Measures'!$T$28:$T$67,"&gt;="&amp;(T$321-Alternatives!$I$16)),0)-IF(S$321&gt;=Alternatives!$I$15,SUMIFS('Narrative &amp; Measures'!$H$28:$H$67,'Narrative &amp; Measures'!$B$28:$B$67,"Immediate Repairs: Life Safety &amp; Critical",'Narrative &amp; Measures'!$T$28:$T$67,"&gt;="&amp;(T$321-Alternatives!$I$16)),0)-IF(S$321&gt;=Alternatives!$I$20,'Equipment Inventory'!$BO$11,0)-IF(S$321&gt;=Alternatives!$I$21,'Equipment Inventory'!$BO$12,0)-IF(S$321&gt;=Alternatives!$I$22,'Equipment Inventory'!$BO$13,0)-IF(S$321&gt;=Alternatives!$I$23,'Equipment Inventory'!$BO$14,0)</f>
        <v>48412000</v>
      </c>
      <c r="T322" s="479">
        <f ca="1">$B$322-IF(T$321&gt;=Alternatives!$I$16,SUMIFS('Narrative &amp; Measures'!$H$28:$H$67,'Narrative &amp; Measures'!$B$28:$B$67,"Deferred Maintenance",'Narrative &amp; Measures'!$T$28:$T$67,"&gt;="&amp;(U$321-Alternatives!$I$16)),0)-IF(T$321&gt;=Alternatives!$I$15,SUMIFS('Narrative &amp; Measures'!$H$28:$H$67,'Narrative &amp; Measures'!$B$28:$B$67,"Immediate Repairs: Life Safety &amp; Critical",'Narrative &amp; Measures'!$T$28:$T$67,"&gt;="&amp;(U$321-Alternatives!$I$16)),0)-IF(T$321&gt;=Alternatives!$I$20,'Equipment Inventory'!$BO$11,0)-IF(T$321&gt;=Alternatives!$I$21,'Equipment Inventory'!$BO$12,0)-IF(T$321&gt;=Alternatives!$I$22,'Equipment Inventory'!$BO$13,0)-IF(T$321&gt;=Alternatives!$I$23,'Equipment Inventory'!$BO$14,0)</f>
        <v>48412000</v>
      </c>
      <c r="U322" s="479">
        <f ca="1">$B$322-IF(U$321&gt;=Alternatives!$I$16,SUMIFS('Narrative &amp; Measures'!$H$28:$H$67,'Narrative &amp; Measures'!$B$28:$B$67,"Deferred Maintenance",'Narrative &amp; Measures'!$T$28:$T$67,"&gt;="&amp;(V$321-Alternatives!$I$16)),0)-IF(U$321&gt;=Alternatives!$I$15,SUMIFS('Narrative &amp; Measures'!$H$28:$H$67,'Narrative &amp; Measures'!$B$28:$B$67,"Immediate Repairs: Life Safety &amp; Critical",'Narrative &amp; Measures'!$T$28:$T$67,"&gt;="&amp;(V$321-Alternatives!$I$16)),0)-IF(U$321&gt;=Alternatives!$I$20,'Equipment Inventory'!$BO$11,0)-IF(U$321&gt;=Alternatives!$I$21,'Equipment Inventory'!$BO$12,0)-IF(U$321&gt;=Alternatives!$I$22,'Equipment Inventory'!$BO$13,0)-IF(U$321&gt;=Alternatives!$I$23,'Equipment Inventory'!$BO$14,0)</f>
        <v>48412000</v>
      </c>
      <c r="V322" s="479">
        <f ca="1">$B$322-IF(V$321&gt;=Alternatives!$I$16,SUMIFS('Narrative &amp; Measures'!$H$28:$H$67,'Narrative &amp; Measures'!$B$28:$B$67,"Deferred Maintenance",'Narrative &amp; Measures'!$T$28:$T$67,"&gt;="&amp;(W$321-Alternatives!$I$16)),0)-IF(V$321&gt;=Alternatives!$I$15,SUMIFS('Narrative &amp; Measures'!$H$28:$H$67,'Narrative &amp; Measures'!$B$28:$B$67,"Immediate Repairs: Life Safety &amp; Critical",'Narrative &amp; Measures'!$T$28:$T$67,"&gt;="&amp;(W$321-Alternatives!$I$16)),0)-IF(V$321&gt;=Alternatives!$I$20,'Equipment Inventory'!$BO$11,0)-IF(V$321&gt;=Alternatives!$I$21,'Equipment Inventory'!$BO$12,0)-IF(V$321&gt;=Alternatives!$I$22,'Equipment Inventory'!$BO$13,0)-IF(V$321&gt;=Alternatives!$I$23,'Equipment Inventory'!$BO$14,0)</f>
        <v>48412000</v>
      </c>
    </row>
    <row r="323" spans="1:23" s="375" customFormat="1">
      <c r="A323" s="375" t="str">
        <f t="shared" si="199"/>
        <v>Baseline - Reactive Fines</v>
      </c>
      <c r="B323" s="375">
        <f>'Building Info &amp; Assumptions'!$B$347</f>
        <v>49400000</v>
      </c>
      <c r="C323" s="479">
        <f>C322</f>
        <v>49400000</v>
      </c>
      <c r="D323" s="479">
        <f t="shared" ref="D323:V324" ca="1" si="200">D322</f>
        <v>49103600</v>
      </c>
      <c r="E323" s="479">
        <f t="shared" ca="1" si="200"/>
        <v>49103600</v>
      </c>
      <c r="F323" s="479">
        <f t="shared" ca="1" si="200"/>
        <v>49103600</v>
      </c>
      <c r="G323" s="479">
        <f t="shared" ca="1" si="200"/>
        <v>49103600</v>
      </c>
      <c r="H323" s="479">
        <f t="shared" ca="1" si="200"/>
        <v>49103600</v>
      </c>
      <c r="I323" s="479">
        <f t="shared" ca="1" si="200"/>
        <v>48560200</v>
      </c>
      <c r="J323" s="479">
        <f t="shared" ca="1" si="200"/>
        <v>48560200</v>
      </c>
      <c r="K323" s="479">
        <f t="shared" ca="1" si="200"/>
        <v>48560200</v>
      </c>
      <c r="L323" s="479">
        <f t="shared" ca="1" si="200"/>
        <v>48560200</v>
      </c>
      <c r="M323" s="479">
        <f t="shared" ca="1" si="200"/>
        <v>48560200</v>
      </c>
      <c r="N323" s="479">
        <f t="shared" ca="1" si="200"/>
        <v>48412000</v>
      </c>
      <c r="O323" s="479">
        <f t="shared" ca="1" si="200"/>
        <v>48412000</v>
      </c>
      <c r="P323" s="479">
        <f t="shared" ca="1" si="200"/>
        <v>48412000</v>
      </c>
      <c r="Q323" s="479">
        <f t="shared" ca="1" si="200"/>
        <v>48412000</v>
      </c>
      <c r="R323" s="479">
        <f t="shared" ca="1" si="200"/>
        <v>48412000</v>
      </c>
      <c r="S323" s="479">
        <f t="shared" ca="1" si="200"/>
        <v>48412000</v>
      </c>
      <c r="T323" s="479">
        <f t="shared" ca="1" si="200"/>
        <v>48412000</v>
      </c>
      <c r="U323" s="479">
        <f t="shared" ca="1" si="200"/>
        <v>48412000</v>
      </c>
      <c r="V323" s="479">
        <f t="shared" ca="1" si="200"/>
        <v>48412000</v>
      </c>
    </row>
    <row r="324" spans="1:23" s="375" customFormat="1">
      <c r="A324" s="375" t="str">
        <f t="shared" si="199"/>
        <v>Baseline - Offset Based Compliance</v>
      </c>
      <c r="B324" s="375">
        <f>'Building Info &amp; Assumptions'!$B$347</f>
        <v>49400000</v>
      </c>
      <c r="C324" s="479">
        <f>C323</f>
        <v>49400000</v>
      </c>
      <c r="D324" s="479">
        <f t="shared" ca="1" si="200"/>
        <v>49103600</v>
      </c>
      <c r="E324" s="479">
        <f t="shared" ca="1" si="200"/>
        <v>49103600</v>
      </c>
      <c r="F324" s="479">
        <f t="shared" ca="1" si="200"/>
        <v>49103600</v>
      </c>
      <c r="G324" s="479">
        <f t="shared" ca="1" si="200"/>
        <v>49103600</v>
      </c>
      <c r="H324" s="479">
        <f t="shared" ca="1" si="200"/>
        <v>49103600</v>
      </c>
      <c r="I324" s="479">
        <f t="shared" ca="1" si="200"/>
        <v>48560200</v>
      </c>
      <c r="J324" s="479">
        <f t="shared" ca="1" si="200"/>
        <v>48560200</v>
      </c>
      <c r="K324" s="479">
        <f t="shared" ca="1" si="200"/>
        <v>48560200</v>
      </c>
      <c r="L324" s="479">
        <f t="shared" ca="1" si="200"/>
        <v>48560200</v>
      </c>
      <c r="M324" s="479">
        <f t="shared" ca="1" si="200"/>
        <v>48560200</v>
      </c>
      <c r="N324" s="479">
        <f t="shared" ca="1" si="200"/>
        <v>48412000</v>
      </c>
      <c r="O324" s="479">
        <f t="shared" ca="1" si="200"/>
        <v>48412000</v>
      </c>
      <c r="P324" s="479">
        <f t="shared" ca="1" si="200"/>
        <v>48412000</v>
      </c>
      <c r="Q324" s="479">
        <f t="shared" ca="1" si="200"/>
        <v>48412000</v>
      </c>
      <c r="R324" s="479">
        <f t="shared" ca="1" si="200"/>
        <v>48412000</v>
      </c>
      <c r="S324" s="479">
        <f t="shared" ca="1" si="200"/>
        <v>48412000</v>
      </c>
      <c r="T324" s="479">
        <f t="shared" ca="1" si="200"/>
        <v>48412000</v>
      </c>
      <c r="U324" s="479">
        <f t="shared" ca="1" si="200"/>
        <v>48412000</v>
      </c>
      <c r="V324" s="479">
        <f t="shared" ca="1" si="200"/>
        <v>48412000</v>
      </c>
    </row>
    <row r="325" spans="1:23" s="375" customFormat="1">
      <c r="A325" s="375" t="str">
        <f t="shared" si="199"/>
        <v>Alternative 1</v>
      </c>
      <c r="B325" s="375">
        <f>'Building Info &amp; Assumptions'!$B$347</f>
        <v>49400000</v>
      </c>
      <c r="C325" s="375" cm="1">
        <f t="array" ref="C325">$B325-SUM(SUMIFS('Narrative &amp; Measures'!$H$28:$H$67,'Narrative &amp; Measures'!$A$28:$A$67,Alternatives!$C$38:$C$57,'Narrative &amp; Measures'!$BV$28:$BV$67,"&lt;="&amp;C$321,'Narrative &amp; Measures'!$CD$28:$CD$67,"&gt;="&amp;D$321))</f>
        <v>48700000</v>
      </c>
      <c r="D325" s="375" cm="1">
        <f t="array" ref="D325">$B325-SUM(SUMIFS('Narrative &amp; Measures'!$H$28:$H$67,'Narrative &amp; Measures'!$A$28:$A$67,Alternatives!$C$38:$C$57,'Narrative &amp; Measures'!$BV$28:$BV$67,"&lt;="&amp;D$321,'Narrative &amp; Measures'!$CD$28:$CD$67,"&gt;="&amp;E$321))</f>
        <v>49700000</v>
      </c>
      <c r="E325" s="375" cm="1">
        <f t="array" ref="E325">$B325-SUM(SUMIFS('Narrative &amp; Measures'!$H$28:$H$67,'Narrative &amp; Measures'!$A$28:$A$67,Alternatives!$C$38:$C$57,'Narrative &amp; Measures'!$BV$28:$BV$67,"&lt;="&amp;E$321,'Narrative &amp; Measures'!$CD$28:$CD$67,"&gt;="&amp;F$321))</f>
        <v>48700000</v>
      </c>
      <c r="F325" s="375" cm="1">
        <f t="array" ref="F325">$B325-SUM(SUMIFS('Narrative &amp; Measures'!$H$28:$H$67,'Narrative &amp; Measures'!$A$28:$A$67,Alternatives!$C$38:$C$57,'Narrative &amp; Measures'!$BV$28:$BV$67,"&lt;="&amp;F$321,'Narrative &amp; Measures'!$CD$28:$CD$67,"&gt;="&amp;G$321))</f>
        <v>48700000</v>
      </c>
      <c r="G325" s="375" cm="1">
        <f t="array" ref="G325">$B325-SUM(SUMIFS('Narrative &amp; Measures'!$H$28:$H$67,'Narrative &amp; Measures'!$A$28:$A$67,Alternatives!$C$38:$C$57,'Narrative &amp; Measures'!$BV$28:$BV$67,"&lt;="&amp;G$321,'Narrative &amp; Measures'!$CD$28:$CD$67,"&gt;="&amp;H$321))</f>
        <v>51300000</v>
      </c>
      <c r="H325" s="375" cm="1">
        <f t="array" ref="H325">$B325-SUM(SUMIFS('Narrative &amp; Measures'!$H$28:$H$67,'Narrative &amp; Measures'!$A$28:$A$67,Alternatives!$C$38:$C$57,'Narrative &amp; Measures'!$BV$28:$BV$67,"&lt;="&amp;H$321,'Narrative &amp; Measures'!$CD$28:$CD$67,"&gt;="&amp;I$321))</f>
        <v>51300000</v>
      </c>
      <c r="I325" s="375" cm="1">
        <f t="array" ref="I325">$B325-SUM(SUMIFS('Narrative &amp; Measures'!$H$28:$H$67,'Narrative &amp; Measures'!$A$28:$A$67,Alternatives!$C$38:$C$57,'Narrative &amp; Measures'!$BV$28:$BV$67,"&lt;="&amp;I$321,'Narrative &amp; Measures'!$CD$28:$CD$67,"&gt;="&amp;J$321))</f>
        <v>51300000</v>
      </c>
      <c r="J325" s="375" cm="1">
        <f t="array" ref="J325">$B325-SUM(SUMIFS('Narrative &amp; Measures'!$H$28:$H$67,'Narrative &amp; Measures'!$A$28:$A$67,Alternatives!$C$38:$C$57,'Narrative &amp; Measures'!$BV$28:$BV$67,"&lt;="&amp;J$321,'Narrative &amp; Measures'!$CD$28:$CD$67,"&gt;="&amp;K$321))</f>
        <v>52300000</v>
      </c>
      <c r="K325" s="375" cm="1">
        <f t="array" ref="K325">$B325-SUM(SUMIFS('Narrative &amp; Measures'!$H$28:$H$67,'Narrative &amp; Measures'!$A$28:$A$67,Alternatives!$C$38:$C$57,'Narrative &amp; Measures'!$BV$28:$BV$67,"&lt;="&amp;K$321,'Narrative &amp; Measures'!$CD$28:$CD$67,"&gt;="&amp;L$321))</f>
        <v>52300000</v>
      </c>
      <c r="L325" s="375" cm="1">
        <f t="array" ref="L325">$B325-SUM(SUMIFS('Narrative &amp; Measures'!$H$28:$H$67,'Narrative &amp; Measures'!$A$28:$A$67,Alternatives!$C$38:$C$57,'Narrative &amp; Measures'!$BV$28:$BV$67,"&lt;="&amp;L$321,'Narrative &amp; Measures'!$CD$28:$CD$67,"&gt;="&amp;M$321))</f>
        <v>52300000</v>
      </c>
      <c r="M325" s="375" cm="1">
        <f t="array" ref="M325">$B325-SUM(SUMIFS('Narrative &amp; Measures'!$H$28:$H$67,'Narrative &amp; Measures'!$A$28:$A$67,Alternatives!$C$38:$C$57,'Narrative &amp; Measures'!$BV$28:$BV$67,"&lt;="&amp;M$321,'Narrative &amp; Measures'!$CD$28:$CD$67,"&gt;="&amp;N$321))</f>
        <v>52700000</v>
      </c>
      <c r="N325" s="375" cm="1">
        <f t="array" ref="N325">$B325-SUM(SUMIFS('Narrative &amp; Measures'!$H$28:$H$67,'Narrative &amp; Measures'!$A$28:$A$67,Alternatives!$C$38:$C$57,'Narrative &amp; Measures'!$BV$28:$BV$67,"&lt;="&amp;N$321,'Narrative &amp; Measures'!$CD$28:$CD$67,"&gt;="&amp;O$321))</f>
        <v>52700000</v>
      </c>
      <c r="O325" s="375" cm="1">
        <f t="array" ref="O325">$B325-SUM(SUMIFS('Narrative &amp; Measures'!$H$28:$H$67,'Narrative &amp; Measures'!$A$28:$A$67,Alternatives!$C$38:$C$57,'Narrative &amp; Measures'!$BV$28:$BV$67,"&lt;="&amp;O$321,'Narrative &amp; Measures'!$CD$28:$CD$67,"&gt;="&amp;P$321))</f>
        <v>52700000</v>
      </c>
      <c r="P325" s="375" cm="1">
        <f t="array" ref="P325">$B325-SUM(SUMIFS('Narrative &amp; Measures'!$H$28:$H$67,'Narrative &amp; Measures'!$A$28:$A$67,Alternatives!$C$38:$C$57,'Narrative &amp; Measures'!$BV$28:$BV$67,"&lt;="&amp;P$321,'Narrative &amp; Measures'!$CD$28:$CD$67,"&gt;="&amp;Q$321))</f>
        <v>52700000</v>
      </c>
      <c r="Q325" s="375" cm="1">
        <f t="array" ref="Q325">$B325-SUM(SUMIFS('Narrative &amp; Measures'!$H$28:$H$67,'Narrative &amp; Measures'!$A$28:$A$67,Alternatives!$C$38:$C$57,'Narrative &amp; Measures'!$BV$28:$BV$67,"&lt;="&amp;Q$321,'Narrative &amp; Measures'!$CD$28:$CD$67,"&gt;="&amp;R$321))</f>
        <v>52700000</v>
      </c>
      <c r="R325" s="375" cm="1">
        <f t="array" ref="R325">$B325-SUM(SUMIFS('Narrative &amp; Measures'!$H$28:$H$67,'Narrative &amp; Measures'!$A$28:$A$67,Alternatives!$C$38:$C$57,'Narrative &amp; Measures'!$BV$28:$BV$67,"&lt;="&amp;R$321,'Narrative &amp; Measures'!$CD$28:$CD$67,"&gt;="&amp;S$321))</f>
        <v>53000000</v>
      </c>
      <c r="S325" s="375" cm="1">
        <f t="array" ref="S325">$B325-SUM(SUMIFS('Narrative &amp; Measures'!$H$28:$H$67,'Narrative &amp; Measures'!$A$28:$A$67,Alternatives!$C$38:$C$57,'Narrative &amp; Measures'!$BV$28:$BV$67,"&lt;="&amp;S$321,'Narrative &amp; Measures'!$CD$28:$CD$67,"&gt;="&amp;T$321))</f>
        <v>52000000</v>
      </c>
      <c r="T325" s="375" cm="1">
        <f t="array" ref="T325">$B325-SUM(SUMIFS('Narrative &amp; Measures'!$H$28:$H$67,'Narrative &amp; Measures'!$A$28:$A$67,Alternatives!$C$38:$C$57,'Narrative &amp; Measures'!$BV$28:$BV$67,"&lt;="&amp;T$321,'Narrative &amp; Measures'!$CD$28:$CD$67,"&gt;="&amp;U$321))</f>
        <v>52000000</v>
      </c>
      <c r="U325" s="375" cm="1">
        <f t="array" ref="U325">$B325-SUM(SUMIFS('Narrative &amp; Measures'!$H$28:$H$67,'Narrative &amp; Measures'!$A$28:$A$67,Alternatives!$C$38:$C$57,'Narrative &amp; Measures'!$BV$28:$BV$67,"&lt;="&amp;U$321,'Narrative &amp; Measures'!$CD$28:$CD$67,"&gt;="&amp;V$321))</f>
        <v>52000000</v>
      </c>
      <c r="V325" s="375" cm="1">
        <f t="array" ref="V325">$B325-SUM(SUMIFS('Narrative &amp; Measures'!$H$28:$H$67,'Narrative &amp; Measures'!$A$28:$A$67,Alternatives!$C$38:$C$57,'Narrative &amp; Measures'!$BV$28:$BV$67,"&lt;="&amp;V$321,'Narrative &amp; Measures'!$CD$28:$CD$67,"&gt;="&amp;W$321))</f>
        <v>52000000</v>
      </c>
    </row>
    <row r="326" spans="1:23" s="375" customFormat="1">
      <c r="A326" s="375" t="str">
        <f t="shared" si="199"/>
        <v>Alternative 2</v>
      </c>
      <c r="B326" s="375">
        <f>'Building Info &amp; Assumptions'!$B$347</f>
        <v>49400000</v>
      </c>
      <c r="C326" s="375" cm="1">
        <f t="array" ref="C326">$B326-SUM(SUMIFS('Narrative &amp; Measures'!$H$28:$H$67,'Narrative &amp; Measures'!$A$28:$A$67,Alternatives!$C$63:$C$82,'Narrative &amp; Measures'!$BW$28:$BW$67,"&lt;="&amp;C$321,'Narrative &amp; Measures'!$CE$28:$CE$67,"&gt;="&amp;D$321))</f>
        <v>48900000</v>
      </c>
      <c r="D326" s="375" cm="1">
        <f t="array" ref="D326">$B326-SUM(SUMIFS('Narrative &amp; Measures'!$H$28:$H$67,'Narrative &amp; Measures'!$A$28:$A$67,Alternatives!$C$63:$C$82,'Narrative &amp; Measures'!$BW$28:$BW$67,"&lt;="&amp;D$321,'Narrative &amp; Measures'!$CE$28:$CE$67,"&gt;="&amp;E$321))</f>
        <v>49700000</v>
      </c>
      <c r="E326" s="375" cm="1">
        <f t="array" ref="E326">$B326-SUM(SUMIFS('Narrative &amp; Measures'!$H$28:$H$67,'Narrative &amp; Measures'!$A$28:$A$67,Alternatives!$C$63:$C$82,'Narrative &amp; Measures'!$BW$28:$BW$67,"&lt;="&amp;E$321,'Narrative &amp; Measures'!$CE$28:$CE$67,"&gt;="&amp;F$321))</f>
        <v>49700000</v>
      </c>
      <c r="F326" s="375" cm="1">
        <f t="array" ref="F326">$B326-SUM(SUMIFS('Narrative &amp; Measures'!$H$28:$H$67,'Narrative &amp; Measures'!$A$28:$A$67,Alternatives!$C$63:$C$82,'Narrative &amp; Measures'!$BW$28:$BW$67,"&lt;="&amp;F$321,'Narrative &amp; Measures'!$CE$28:$CE$67,"&gt;="&amp;G$321))</f>
        <v>48700000</v>
      </c>
      <c r="G326" s="375" cm="1">
        <f t="array" ref="G326">$B326-SUM(SUMIFS('Narrative &amp; Measures'!$H$28:$H$67,'Narrative &amp; Measures'!$A$28:$A$67,Alternatives!$C$63:$C$82,'Narrative &amp; Measures'!$BW$28:$BW$67,"&lt;="&amp;G$321,'Narrative &amp; Measures'!$CE$28:$CE$67,"&gt;="&amp;H$321))</f>
        <v>48700000</v>
      </c>
      <c r="H326" s="375" cm="1">
        <f t="array" ref="H326">$B326-SUM(SUMIFS('Narrative &amp; Measures'!$H$28:$H$67,'Narrative &amp; Measures'!$A$28:$A$67,Alternatives!$C$63:$C$82,'Narrative &amp; Measures'!$BW$28:$BW$67,"&lt;="&amp;H$321,'Narrative &amp; Measures'!$CE$28:$CE$67,"&gt;="&amp;I$321))</f>
        <v>48700000</v>
      </c>
      <c r="I326" s="375" cm="1">
        <f t="array" ref="I326">$B326-SUM(SUMIFS('Narrative &amp; Measures'!$H$28:$H$67,'Narrative &amp; Measures'!$A$28:$A$67,Alternatives!$C$63:$C$82,'Narrative &amp; Measures'!$BW$28:$BW$67,"&lt;="&amp;I$321,'Narrative &amp; Measures'!$CE$28:$CE$67,"&gt;="&amp;J$321))</f>
        <v>48700000</v>
      </c>
      <c r="J326" s="375" cm="1">
        <f t="array" ref="J326">$B326-SUM(SUMIFS('Narrative &amp; Measures'!$H$28:$H$67,'Narrative &amp; Measures'!$A$28:$A$67,Alternatives!$C$63:$C$82,'Narrative &amp; Measures'!$BW$28:$BW$67,"&lt;="&amp;J$321,'Narrative &amp; Measures'!$CE$28:$CE$67,"&gt;="&amp;K$321))</f>
        <v>63300000</v>
      </c>
      <c r="K326" s="375" cm="1">
        <f t="array" ref="K326">$B326-SUM(SUMIFS('Narrative &amp; Measures'!$H$28:$H$67,'Narrative &amp; Measures'!$A$28:$A$67,Alternatives!$C$63:$C$82,'Narrative &amp; Measures'!$BW$28:$BW$67,"&lt;="&amp;K$321,'Narrative &amp; Measures'!$CE$28:$CE$67,"&gt;="&amp;L$321))</f>
        <v>63300000</v>
      </c>
      <c r="L326" s="375" cm="1">
        <f t="array" ref="L326">$B326-SUM(SUMIFS('Narrative &amp; Measures'!$H$28:$H$67,'Narrative &amp; Measures'!$A$28:$A$67,Alternatives!$C$63:$C$82,'Narrative &amp; Measures'!$BW$28:$BW$67,"&lt;="&amp;L$321,'Narrative &amp; Measures'!$CE$28:$CE$67,"&gt;="&amp;M$321))</f>
        <v>63300000</v>
      </c>
      <c r="M326" s="375" cm="1">
        <f t="array" ref="M326">$B326-SUM(SUMIFS('Narrative &amp; Measures'!$H$28:$H$67,'Narrative &amp; Measures'!$A$28:$A$67,Alternatives!$C$63:$C$82,'Narrative &amp; Measures'!$BW$28:$BW$67,"&lt;="&amp;M$321,'Narrative &amp; Measures'!$CE$28:$CE$67,"&gt;="&amp;N$321))</f>
        <v>63500000</v>
      </c>
      <c r="N326" s="375" cm="1">
        <f t="array" ref="N326">$B326-SUM(SUMIFS('Narrative &amp; Measures'!$H$28:$H$67,'Narrative &amp; Measures'!$A$28:$A$67,Alternatives!$C$63:$C$82,'Narrative &amp; Measures'!$BW$28:$BW$67,"&lt;="&amp;N$321,'Narrative &amp; Measures'!$CE$28:$CE$67,"&gt;="&amp;O$321))</f>
        <v>63700000</v>
      </c>
      <c r="O326" s="375" cm="1">
        <f t="array" ref="O326">$B326-SUM(SUMIFS('Narrative &amp; Measures'!$H$28:$H$67,'Narrative &amp; Measures'!$A$28:$A$67,Alternatives!$C$63:$C$82,'Narrative &amp; Measures'!$BW$28:$BW$67,"&lt;="&amp;O$321,'Narrative &amp; Measures'!$CE$28:$CE$67,"&gt;="&amp;P$321))</f>
        <v>63700000</v>
      </c>
      <c r="P326" s="375" cm="1">
        <f t="array" ref="P326">$B326-SUM(SUMIFS('Narrative &amp; Measures'!$H$28:$H$67,'Narrative &amp; Measures'!$A$28:$A$67,Alternatives!$C$63:$C$82,'Narrative &amp; Measures'!$BW$28:$BW$67,"&lt;="&amp;P$321,'Narrative &amp; Measures'!$CE$28:$CE$67,"&gt;="&amp;Q$321))</f>
        <v>63700000</v>
      </c>
      <c r="Q326" s="375" cm="1">
        <f t="array" ref="Q326">$B326-SUM(SUMIFS('Narrative &amp; Measures'!$H$28:$H$67,'Narrative &amp; Measures'!$A$28:$A$67,Alternatives!$C$63:$C$82,'Narrative &amp; Measures'!$BW$28:$BW$67,"&lt;="&amp;Q$321,'Narrative &amp; Measures'!$CE$28:$CE$67,"&gt;="&amp;R$321))</f>
        <v>63700000</v>
      </c>
      <c r="R326" s="375" cm="1">
        <f t="array" ref="R326">$B326-SUM(SUMIFS('Narrative &amp; Measures'!$H$28:$H$67,'Narrative &amp; Measures'!$A$28:$A$67,Alternatives!$C$63:$C$82,'Narrative &amp; Measures'!$BW$28:$BW$67,"&lt;="&amp;R$321,'Narrative &amp; Measures'!$CE$28:$CE$67,"&gt;="&amp;S$321))</f>
        <v>64000000</v>
      </c>
      <c r="S326" s="375" cm="1">
        <f t="array" ref="S326">$B326-SUM(SUMIFS('Narrative &amp; Measures'!$H$28:$H$67,'Narrative &amp; Measures'!$A$28:$A$67,Alternatives!$C$63:$C$82,'Narrative &amp; Measures'!$BW$28:$BW$67,"&lt;="&amp;S$321,'Narrative &amp; Measures'!$CE$28:$CE$67,"&gt;="&amp;T$321))</f>
        <v>63000000</v>
      </c>
      <c r="T326" s="375" cm="1">
        <f t="array" ref="T326">$B326-SUM(SUMIFS('Narrative &amp; Measures'!$H$28:$H$67,'Narrative &amp; Measures'!$A$28:$A$67,Alternatives!$C$63:$C$82,'Narrative &amp; Measures'!$BW$28:$BW$67,"&lt;="&amp;T$321,'Narrative &amp; Measures'!$CE$28:$CE$67,"&gt;="&amp;U$321))</f>
        <v>63000000</v>
      </c>
      <c r="U326" s="375" cm="1">
        <f t="array" ref="U326">$B326-SUM(SUMIFS('Narrative &amp; Measures'!$H$28:$H$67,'Narrative &amp; Measures'!$A$28:$A$67,Alternatives!$C$63:$C$82,'Narrative &amp; Measures'!$BW$28:$BW$67,"&lt;="&amp;U$321,'Narrative &amp; Measures'!$CE$28:$CE$67,"&gt;="&amp;V$321))</f>
        <v>63000000</v>
      </c>
      <c r="V326" s="375" cm="1">
        <f t="array" ref="V326">$B326-SUM(SUMIFS('Narrative &amp; Measures'!$H$28:$H$67,'Narrative &amp; Measures'!$A$28:$A$67,Alternatives!$C$63:$C$82,'Narrative &amp; Measures'!$BW$28:$BW$67,"&lt;="&amp;V$321,'Narrative &amp; Measures'!$CE$28:$CE$67,"&gt;="&amp;W$321))</f>
        <v>63000000</v>
      </c>
    </row>
    <row r="327" spans="1:23" s="375" customFormat="1">
      <c r="A327" s="375" t="str">
        <f t="shared" si="199"/>
        <v>Alternative 3</v>
      </c>
      <c r="B327" s="375">
        <f>'Building Info &amp; Assumptions'!$B$347</f>
        <v>49400000</v>
      </c>
      <c r="C327" s="375" cm="1">
        <f t="array" ref="C327">$B327-SUM(SUMIFS('Narrative &amp; Measures'!$H$28:$H$67,'Narrative &amp; Measures'!$A$28:$A$67,Alternatives!$C$88:$C$107,'Narrative &amp; Measures'!$BX$28:$BX$67,"&lt;="&amp;C$321,'Narrative &amp; Measures'!$CF$28:$CF$67,"&gt;="&amp;D$321))</f>
        <v>49100000</v>
      </c>
      <c r="D327" s="375" cm="1">
        <f t="array" ref="D327">$B327-SUM(SUMIFS('Narrative &amp; Measures'!$H$28:$H$67,'Narrative &amp; Measures'!$A$28:$A$67,Alternatives!$C$88:$C$107,'Narrative &amp; Measures'!$BX$28:$BX$67,"&lt;="&amp;D$321,'Narrative &amp; Measures'!$CF$28:$CF$67,"&gt;="&amp;E$321))</f>
        <v>52100000</v>
      </c>
      <c r="E327" s="375" cm="1">
        <f t="array" ref="E327">$B327-SUM(SUMIFS('Narrative &amp; Measures'!$H$28:$H$67,'Narrative &amp; Measures'!$A$28:$A$67,Alternatives!$C$88:$C$107,'Narrative &amp; Measures'!$BX$28:$BX$67,"&lt;="&amp;E$321,'Narrative &amp; Measures'!$CF$28:$CF$67,"&gt;="&amp;F$321))</f>
        <v>52100000</v>
      </c>
      <c r="F327" s="375" cm="1">
        <f t="array" ref="F327">$B327-SUM(SUMIFS('Narrative &amp; Measures'!$H$28:$H$67,'Narrative &amp; Measures'!$A$28:$A$67,Alternatives!$C$88:$C$107,'Narrative &amp; Measures'!$BX$28:$BX$67,"&lt;="&amp;F$321,'Narrative &amp; Measures'!$CF$28:$CF$67,"&gt;="&amp;G$321))</f>
        <v>52100000</v>
      </c>
      <c r="G327" s="375" cm="1">
        <f t="array" ref="G327">$B327-SUM(SUMIFS('Narrative &amp; Measures'!$H$28:$H$67,'Narrative &amp; Measures'!$A$28:$A$67,Alternatives!$C$88:$C$107,'Narrative &amp; Measures'!$BX$28:$BX$67,"&lt;="&amp;G$321,'Narrative &amp; Measures'!$CF$28:$CF$67,"&gt;="&amp;H$321))</f>
        <v>51100000</v>
      </c>
      <c r="H327" s="375" cm="1">
        <f t="array" ref="H327">$B327-SUM(SUMIFS('Narrative &amp; Measures'!$H$28:$H$67,'Narrative &amp; Measures'!$A$28:$A$67,Alternatives!$C$88:$C$107,'Narrative &amp; Measures'!$BX$28:$BX$67,"&lt;="&amp;H$321,'Narrative &amp; Measures'!$CF$28:$CF$67,"&gt;="&amp;I$321))</f>
        <v>51100000</v>
      </c>
      <c r="I327" s="375" cm="1">
        <f t="array" ref="I327">$B327-SUM(SUMIFS('Narrative &amp; Measures'!$H$28:$H$67,'Narrative &amp; Measures'!$A$28:$A$67,Alternatives!$C$88:$C$107,'Narrative &amp; Measures'!$BX$28:$BX$67,"&lt;="&amp;I$321,'Narrative &amp; Measures'!$CF$28:$CF$67,"&gt;="&amp;J$321))</f>
        <v>65700000</v>
      </c>
      <c r="J327" s="375" cm="1">
        <f t="array" ref="J327">$B327-SUM(SUMIFS('Narrative &amp; Measures'!$H$28:$H$67,'Narrative &amp; Measures'!$A$28:$A$67,Alternatives!$C$88:$C$107,'Narrative &amp; Measures'!$BX$28:$BX$67,"&lt;="&amp;J$321,'Narrative &amp; Measures'!$CF$28:$CF$67,"&gt;="&amp;K$321))</f>
        <v>65700000</v>
      </c>
      <c r="K327" s="375" cm="1">
        <f t="array" ref="K327">$B327-SUM(SUMIFS('Narrative &amp; Measures'!$H$28:$H$67,'Narrative &amp; Measures'!$A$28:$A$67,Alternatives!$C$88:$C$107,'Narrative &amp; Measures'!$BX$28:$BX$67,"&lt;="&amp;K$321,'Narrative &amp; Measures'!$CF$28:$CF$67,"&gt;="&amp;L$321))</f>
        <v>65700000</v>
      </c>
      <c r="L327" s="375" cm="1">
        <f t="array" ref="L327">$B327-SUM(SUMIFS('Narrative &amp; Measures'!$H$28:$H$67,'Narrative &amp; Measures'!$A$28:$A$67,Alternatives!$C$88:$C$107,'Narrative &amp; Measures'!$BX$28:$BX$67,"&lt;="&amp;L$321,'Narrative &amp; Measures'!$CF$28:$CF$67,"&gt;="&amp;M$321))</f>
        <v>65700000</v>
      </c>
      <c r="M327" s="375" cm="1">
        <f t="array" ref="M327">$B327-SUM(SUMIFS('Narrative &amp; Measures'!$H$28:$H$67,'Narrative &amp; Measures'!$A$28:$A$67,Alternatives!$C$88:$C$107,'Narrative &amp; Measures'!$BX$28:$BX$67,"&lt;="&amp;M$321,'Narrative &amp; Measures'!$CF$28:$CF$67,"&gt;="&amp;N$321))</f>
        <v>65700000</v>
      </c>
      <c r="N327" s="375" cm="1">
        <f t="array" ref="N327">$B327-SUM(SUMIFS('Narrative &amp; Measures'!$H$28:$H$67,'Narrative &amp; Measures'!$A$28:$A$67,Alternatives!$C$88:$C$107,'Narrative &amp; Measures'!$BX$28:$BX$67,"&lt;="&amp;N$321,'Narrative &amp; Measures'!$CF$28:$CF$67,"&gt;="&amp;O$321))</f>
        <v>65700000</v>
      </c>
      <c r="O327" s="375" cm="1">
        <f t="array" ref="O327">$B327-SUM(SUMIFS('Narrative &amp; Measures'!$H$28:$H$67,'Narrative &amp; Measures'!$A$28:$A$67,Alternatives!$C$88:$C$107,'Narrative &amp; Measures'!$BX$28:$BX$67,"&lt;="&amp;O$321,'Narrative &amp; Measures'!$CF$28:$CF$67,"&gt;="&amp;P$321))</f>
        <v>65700000</v>
      </c>
      <c r="P327" s="375" cm="1">
        <f t="array" ref="P327">$B327-SUM(SUMIFS('Narrative &amp; Measures'!$H$28:$H$67,'Narrative &amp; Measures'!$A$28:$A$67,Alternatives!$C$88:$C$107,'Narrative &amp; Measures'!$BX$28:$BX$67,"&lt;="&amp;P$321,'Narrative &amp; Measures'!$CF$28:$CF$67,"&gt;="&amp;Q$321))</f>
        <v>65700000</v>
      </c>
      <c r="Q327" s="375" cm="1">
        <f t="array" ref="Q327">$B327-SUM(SUMIFS('Narrative &amp; Measures'!$H$28:$H$67,'Narrative &amp; Measures'!$A$28:$A$67,Alternatives!$C$88:$C$107,'Narrative &amp; Measures'!$BX$28:$BX$67,"&lt;="&amp;Q$321,'Narrative &amp; Measures'!$CF$28:$CF$67,"&gt;="&amp;R$321))</f>
        <v>65700000</v>
      </c>
      <c r="R327" s="375" cm="1">
        <f t="array" ref="R327">$B327-SUM(SUMIFS('Narrative &amp; Measures'!$H$28:$H$67,'Narrative &amp; Measures'!$A$28:$A$67,Alternatives!$C$88:$C$107,'Narrative &amp; Measures'!$BX$28:$BX$67,"&lt;="&amp;R$321,'Narrative &amp; Measures'!$CF$28:$CF$67,"&gt;="&amp;S$321))</f>
        <v>66000000</v>
      </c>
      <c r="S327" s="375" cm="1">
        <f t="array" ref="S327">$B327-SUM(SUMIFS('Narrative &amp; Measures'!$H$28:$H$67,'Narrative &amp; Measures'!$A$28:$A$67,Alternatives!$C$88:$C$107,'Narrative &amp; Measures'!$BX$28:$BX$67,"&lt;="&amp;S$321,'Narrative &amp; Measures'!$CF$28:$CF$67,"&gt;="&amp;T$321))</f>
        <v>63000000</v>
      </c>
      <c r="T327" s="375" cm="1">
        <f t="array" ref="T327">$B327-SUM(SUMIFS('Narrative &amp; Measures'!$H$28:$H$67,'Narrative &amp; Measures'!$A$28:$A$67,Alternatives!$C$88:$C$107,'Narrative &amp; Measures'!$BX$28:$BX$67,"&lt;="&amp;T$321,'Narrative &amp; Measures'!$CF$28:$CF$67,"&gt;="&amp;U$321))</f>
        <v>63000000</v>
      </c>
      <c r="U327" s="375" cm="1">
        <f t="array" ref="U327">$B327-SUM(SUMIFS('Narrative &amp; Measures'!$H$28:$H$67,'Narrative &amp; Measures'!$A$28:$A$67,Alternatives!$C$88:$C$107,'Narrative &amp; Measures'!$BX$28:$BX$67,"&lt;="&amp;U$321,'Narrative &amp; Measures'!$CF$28:$CF$67,"&gt;="&amp;V$321))</f>
        <v>63000000</v>
      </c>
      <c r="V327" s="375" cm="1">
        <f t="array" ref="V327">$B327-SUM(SUMIFS('Narrative &amp; Measures'!$H$28:$H$67,'Narrative &amp; Measures'!$A$28:$A$67,Alternatives!$C$88:$C$107,'Narrative &amp; Measures'!$BX$28:$BX$67,"&lt;="&amp;V$321,'Narrative &amp; Measures'!$CF$28:$CF$67,"&gt;="&amp;W$321))</f>
        <v>63000000</v>
      </c>
    </row>
    <row r="328" spans="1:23" s="375" customFormat="1"/>
    <row r="329" spans="1:23" s="375" customFormat="1">
      <c r="A329" s="375" t="s">
        <v>618</v>
      </c>
      <c r="B329" s="479"/>
    </row>
    <row r="330" spans="1:23" s="375" customFormat="1">
      <c r="A330" s="375" t="str">
        <f>A322</f>
        <v>Baseline Reactive (Cap Op St+IR DM)</v>
      </c>
      <c r="B330" s="375">
        <f>'Building Info &amp; Assumptions'!$B$348</f>
        <v>0</v>
      </c>
      <c r="C330" s="479">
        <f>$B$330-IF(C$321&gt;=Alternatives!$I$16,SUMIFS('Narrative &amp; Measures'!$I$28:$I$67,'Narrative &amp; Measures'!$B$28:$B$67,"Deferred Maintenance",'Narrative &amp; Measures'!$T$28:$T$67,"&gt;="&amp;(D$321-Alternatives!$I$16)),0)-IF(C$321&gt;=Alternatives!$I$15,SUMIFS('Narrative &amp; Measures'!$I$28:$I$67,'Narrative &amp; Measures'!$B$28:$B$67,"Immediate Repairs: Life Safety &amp; Critical",'Narrative &amp; Measures'!$T$28:$T$67,"&gt;="&amp;(D$321-Alternatives!$I$16)),0)-IF(C$321&gt;=Alternatives!$I$20,'Equipment Inventory'!$BQ$11,0)-IF(C$321&gt;=Alternatives!$I$21,'Equipment Inventory'!$BQ$12,0)-IF(C$321&gt;=Alternatives!$I$22,'Equipment Inventory'!$BQ$13,0)-IF(C$321&gt;=Alternatives!$I$23,'Equipment Inventory'!$BQ$14,0)</f>
        <v>0</v>
      </c>
      <c r="D330" s="479">
        <f ca="1">$B$330-IF(D$321&gt;=Alternatives!$I$16,SUMIFS('Narrative &amp; Measures'!$I$28:$I$67,'Narrative &amp; Measures'!$B$28:$B$67,"Deferred Maintenance",'Narrative &amp; Measures'!$T$28:$T$67,"&gt;="&amp;(E$321-Alternatives!$I$16)),0)-IF(D$321&gt;=Alternatives!$I$15,SUMIFS('Narrative &amp; Measures'!$I$28:$I$67,'Narrative &amp; Measures'!$B$28:$B$67,"Immediate Repairs: Life Safety &amp; Critical",'Narrative &amp; Measures'!$T$28:$T$67,"&gt;="&amp;(E$321-Alternatives!$I$16)),0)-IF(D$321&gt;=Alternatives!$I$20,'Equipment Inventory'!$BQ$11,0)-IF(D$321&gt;=Alternatives!$I$21,'Equipment Inventory'!$BQ$12,0)-IF(D$321&gt;=Alternatives!$I$22,'Equipment Inventory'!$BQ$13,0)-IF(D$321&gt;=Alternatives!$I$23,'Equipment Inventory'!$BQ$14,0)</f>
        <v>0</v>
      </c>
      <c r="E330" s="479">
        <f ca="1">$B$330-IF(E$321&gt;=Alternatives!$I$16,SUMIFS('Narrative &amp; Measures'!$I$28:$I$67,'Narrative &amp; Measures'!$B$28:$B$67,"Deferred Maintenance",'Narrative &amp; Measures'!$T$28:$T$67,"&gt;="&amp;(F$321-Alternatives!$I$16)),0)-IF(E$321&gt;=Alternatives!$I$15,SUMIFS('Narrative &amp; Measures'!$I$28:$I$67,'Narrative &amp; Measures'!$B$28:$B$67,"Immediate Repairs: Life Safety &amp; Critical",'Narrative &amp; Measures'!$T$28:$T$67,"&gt;="&amp;(F$321-Alternatives!$I$16)),0)-IF(E$321&gt;=Alternatives!$I$20,'Equipment Inventory'!$BQ$11,0)-IF(E$321&gt;=Alternatives!$I$21,'Equipment Inventory'!$BQ$12,0)-IF(E$321&gt;=Alternatives!$I$22,'Equipment Inventory'!$BQ$13,0)-IF(E$321&gt;=Alternatives!$I$23,'Equipment Inventory'!$BQ$14,0)</f>
        <v>0</v>
      </c>
      <c r="F330" s="479">
        <f ca="1">$B$330-IF(F$321&gt;=Alternatives!$I$16,SUMIFS('Narrative &amp; Measures'!$I$28:$I$67,'Narrative &amp; Measures'!$B$28:$B$67,"Deferred Maintenance",'Narrative &amp; Measures'!$T$28:$T$67,"&gt;="&amp;(G$321-Alternatives!$I$16)),0)-IF(F$321&gt;=Alternatives!$I$15,SUMIFS('Narrative &amp; Measures'!$I$28:$I$67,'Narrative &amp; Measures'!$B$28:$B$67,"Immediate Repairs: Life Safety &amp; Critical",'Narrative &amp; Measures'!$T$28:$T$67,"&gt;="&amp;(G$321-Alternatives!$I$16)),0)-IF(F$321&gt;=Alternatives!$I$20,'Equipment Inventory'!$BQ$11,0)-IF(F$321&gt;=Alternatives!$I$21,'Equipment Inventory'!$BQ$12,0)-IF(F$321&gt;=Alternatives!$I$22,'Equipment Inventory'!$BQ$13,0)-IF(F$321&gt;=Alternatives!$I$23,'Equipment Inventory'!$BQ$14,0)</f>
        <v>0</v>
      </c>
      <c r="G330" s="479">
        <f ca="1">$B$330-IF(G$321&gt;=Alternatives!$I$16,SUMIFS('Narrative &amp; Measures'!$I$28:$I$67,'Narrative &amp; Measures'!$B$28:$B$67,"Deferred Maintenance",'Narrative &amp; Measures'!$T$28:$T$67,"&gt;="&amp;(H$321-Alternatives!$I$16)),0)-IF(G$321&gt;=Alternatives!$I$15,SUMIFS('Narrative &amp; Measures'!$I$28:$I$67,'Narrative &amp; Measures'!$B$28:$B$67,"Immediate Repairs: Life Safety &amp; Critical",'Narrative &amp; Measures'!$T$28:$T$67,"&gt;="&amp;(H$321-Alternatives!$I$16)),0)-IF(G$321&gt;=Alternatives!$I$20,'Equipment Inventory'!$BQ$11,0)-IF(G$321&gt;=Alternatives!$I$21,'Equipment Inventory'!$BQ$12,0)-IF(G$321&gt;=Alternatives!$I$22,'Equipment Inventory'!$BQ$13,0)-IF(G$321&gt;=Alternatives!$I$23,'Equipment Inventory'!$BQ$14,0)</f>
        <v>0</v>
      </c>
      <c r="H330" s="479">
        <f ca="1">$B$330-IF(H$321&gt;=Alternatives!$I$16,SUMIFS('Narrative &amp; Measures'!$I$28:$I$67,'Narrative &amp; Measures'!$B$28:$B$67,"Deferred Maintenance",'Narrative &amp; Measures'!$T$28:$T$67,"&gt;="&amp;(I$321-Alternatives!$I$16)),0)-IF(H$321&gt;=Alternatives!$I$15,SUMIFS('Narrative &amp; Measures'!$I$28:$I$67,'Narrative &amp; Measures'!$B$28:$B$67,"Immediate Repairs: Life Safety &amp; Critical",'Narrative &amp; Measures'!$T$28:$T$67,"&gt;="&amp;(I$321-Alternatives!$I$16)),0)-IF(H$321&gt;=Alternatives!$I$20,'Equipment Inventory'!$BQ$11,0)-IF(H$321&gt;=Alternatives!$I$21,'Equipment Inventory'!$BQ$12,0)-IF(H$321&gt;=Alternatives!$I$22,'Equipment Inventory'!$BQ$13,0)-IF(H$321&gt;=Alternatives!$I$23,'Equipment Inventory'!$BQ$14,0)</f>
        <v>0</v>
      </c>
      <c r="I330" s="479">
        <f ca="1">$B$330-IF(I$321&gt;=Alternatives!$I$16,SUMIFS('Narrative &amp; Measures'!$I$28:$I$67,'Narrative &amp; Measures'!$B$28:$B$67,"Deferred Maintenance",'Narrative &amp; Measures'!$T$28:$T$67,"&gt;="&amp;(J$321-Alternatives!$I$16)),0)-IF(I$321&gt;=Alternatives!$I$15,SUMIFS('Narrative &amp; Measures'!$I$28:$I$67,'Narrative &amp; Measures'!$B$28:$B$67,"Immediate Repairs: Life Safety &amp; Critical",'Narrative &amp; Measures'!$T$28:$T$67,"&gt;="&amp;(J$321-Alternatives!$I$16)),0)-IF(I$321&gt;=Alternatives!$I$20,'Equipment Inventory'!$BQ$11,0)-IF(I$321&gt;=Alternatives!$I$21,'Equipment Inventory'!$BQ$12,0)-IF(I$321&gt;=Alternatives!$I$22,'Equipment Inventory'!$BQ$13,0)-IF(I$321&gt;=Alternatives!$I$23,'Equipment Inventory'!$BQ$14,0)</f>
        <v>0</v>
      </c>
      <c r="J330" s="479">
        <f ca="1">$B$330-IF(J$321&gt;=Alternatives!$I$16,SUMIFS('Narrative &amp; Measures'!$I$28:$I$67,'Narrative &amp; Measures'!$B$28:$B$67,"Deferred Maintenance",'Narrative &amp; Measures'!$T$28:$T$67,"&gt;="&amp;(K$321-Alternatives!$I$16)),0)-IF(J$321&gt;=Alternatives!$I$15,SUMIFS('Narrative &amp; Measures'!$I$28:$I$67,'Narrative &amp; Measures'!$B$28:$B$67,"Immediate Repairs: Life Safety &amp; Critical",'Narrative &amp; Measures'!$T$28:$T$67,"&gt;="&amp;(K$321-Alternatives!$I$16)),0)-IF(J$321&gt;=Alternatives!$I$20,'Equipment Inventory'!$BQ$11,0)-IF(J$321&gt;=Alternatives!$I$21,'Equipment Inventory'!$BQ$12,0)-IF(J$321&gt;=Alternatives!$I$22,'Equipment Inventory'!$BQ$13,0)-IF(J$321&gt;=Alternatives!$I$23,'Equipment Inventory'!$BQ$14,0)</f>
        <v>0</v>
      </c>
      <c r="K330" s="479">
        <f ca="1">$B$330-IF(K$321&gt;=Alternatives!$I$16,SUMIFS('Narrative &amp; Measures'!$I$28:$I$67,'Narrative &amp; Measures'!$B$28:$B$67,"Deferred Maintenance",'Narrative &amp; Measures'!$T$28:$T$67,"&gt;="&amp;(L$321-Alternatives!$I$16)),0)-IF(K$321&gt;=Alternatives!$I$15,SUMIFS('Narrative &amp; Measures'!$I$28:$I$67,'Narrative &amp; Measures'!$B$28:$B$67,"Immediate Repairs: Life Safety &amp; Critical",'Narrative &amp; Measures'!$T$28:$T$67,"&gt;="&amp;(L$321-Alternatives!$I$16)),0)-IF(K$321&gt;=Alternatives!$I$20,'Equipment Inventory'!$BQ$11,0)-IF(K$321&gt;=Alternatives!$I$21,'Equipment Inventory'!$BQ$12,0)-IF(K$321&gt;=Alternatives!$I$22,'Equipment Inventory'!$BQ$13,0)-IF(K$321&gt;=Alternatives!$I$23,'Equipment Inventory'!$BQ$14,0)</f>
        <v>0</v>
      </c>
      <c r="L330" s="479">
        <f ca="1">$B$330-IF(L$321&gt;=Alternatives!$I$16,SUMIFS('Narrative &amp; Measures'!$I$28:$I$67,'Narrative &amp; Measures'!$B$28:$B$67,"Deferred Maintenance",'Narrative &amp; Measures'!$T$28:$T$67,"&gt;="&amp;(M$321-Alternatives!$I$16)),0)-IF(L$321&gt;=Alternatives!$I$15,SUMIFS('Narrative &amp; Measures'!$I$28:$I$67,'Narrative &amp; Measures'!$B$28:$B$67,"Immediate Repairs: Life Safety &amp; Critical",'Narrative &amp; Measures'!$T$28:$T$67,"&gt;="&amp;(M$321-Alternatives!$I$16)),0)-IF(L$321&gt;=Alternatives!$I$20,'Equipment Inventory'!$BQ$11,0)-IF(L$321&gt;=Alternatives!$I$21,'Equipment Inventory'!$BQ$12,0)-IF(L$321&gt;=Alternatives!$I$22,'Equipment Inventory'!$BQ$13,0)-IF(L$321&gt;=Alternatives!$I$23,'Equipment Inventory'!$BQ$14,0)</f>
        <v>0</v>
      </c>
      <c r="M330" s="479">
        <f ca="1">$B$330-IF(M$321&gt;=Alternatives!$I$16,SUMIFS('Narrative &amp; Measures'!$I$28:$I$67,'Narrative &amp; Measures'!$B$28:$B$67,"Deferred Maintenance",'Narrative &amp; Measures'!$T$28:$T$67,"&gt;="&amp;(N$321-Alternatives!$I$16)),0)-IF(M$321&gt;=Alternatives!$I$15,SUMIFS('Narrative &amp; Measures'!$I$28:$I$67,'Narrative &amp; Measures'!$B$28:$B$67,"Immediate Repairs: Life Safety &amp; Critical",'Narrative &amp; Measures'!$T$28:$T$67,"&gt;="&amp;(N$321-Alternatives!$I$16)),0)-IF(M$321&gt;=Alternatives!$I$20,'Equipment Inventory'!$BQ$11,0)-IF(M$321&gt;=Alternatives!$I$21,'Equipment Inventory'!$BQ$12,0)-IF(M$321&gt;=Alternatives!$I$22,'Equipment Inventory'!$BQ$13,0)-IF(M$321&gt;=Alternatives!$I$23,'Equipment Inventory'!$BQ$14,0)</f>
        <v>0</v>
      </c>
      <c r="N330" s="479">
        <f ca="1">$B$330-IF(N$321&gt;=Alternatives!$I$16,SUMIFS('Narrative &amp; Measures'!$I$28:$I$67,'Narrative &amp; Measures'!$B$28:$B$67,"Deferred Maintenance",'Narrative &amp; Measures'!$T$28:$T$67,"&gt;="&amp;(O$321-Alternatives!$I$16)),0)-IF(N$321&gt;=Alternatives!$I$15,SUMIFS('Narrative &amp; Measures'!$I$28:$I$67,'Narrative &amp; Measures'!$B$28:$B$67,"Immediate Repairs: Life Safety &amp; Critical",'Narrative &amp; Measures'!$T$28:$T$67,"&gt;="&amp;(O$321-Alternatives!$I$16)),0)-IF(N$321&gt;=Alternatives!$I$20,'Equipment Inventory'!$BQ$11,0)-IF(N$321&gt;=Alternatives!$I$21,'Equipment Inventory'!$BQ$12,0)-IF(N$321&gt;=Alternatives!$I$22,'Equipment Inventory'!$BQ$13,0)-IF(N$321&gt;=Alternatives!$I$23,'Equipment Inventory'!$BQ$14,0)</f>
        <v>0</v>
      </c>
      <c r="O330" s="479">
        <f ca="1">$B$330-IF(O$321&gt;=Alternatives!$I$16,SUMIFS('Narrative &amp; Measures'!$I$28:$I$67,'Narrative &amp; Measures'!$B$28:$B$67,"Deferred Maintenance",'Narrative &amp; Measures'!$T$28:$T$67,"&gt;="&amp;(P$321-Alternatives!$I$16)),0)-IF(O$321&gt;=Alternatives!$I$15,SUMIFS('Narrative &amp; Measures'!$I$28:$I$67,'Narrative &amp; Measures'!$B$28:$B$67,"Immediate Repairs: Life Safety &amp; Critical",'Narrative &amp; Measures'!$T$28:$T$67,"&gt;="&amp;(P$321-Alternatives!$I$16)),0)-IF(O$321&gt;=Alternatives!$I$20,'Equipment Inventory'!$BQ$11,0)-IF(O$321&gt;=Alternatives!$I$21,'Equipment Inventory'!$BQ$12,0)-IF(O$321&gt;=Alternatives!$I$22,'Equipment Inventory'!$BQ$13,0)-IF(O$321&gt;=Alternatives!$I$23,'Equipment Inventory'!$BQ$14,0)</f>
        <v>0</v>
      </c>
      <c r="P330" s="479">
        <f ca="1">$B$330-IF(P$321&gt;=Alternatives!$I$16,SUMIFS('Narrative &amp; Measures'!$I$28:$I$67,'Narrative &amp; Measures'!$B$28:$B$67,"Deferred Maintenance",'Narrative &amp; Measures'!$T$28:$T$67,"&gt;="&amp;(Q$321-Alternatives!$I$16)),0)-IF(P$321&gt;=Alternatives!$I$15,SUMIFS('Narrative &amp; Measures'!$I$28:$I$67,'Narrative &amp; Measures'!$B$28:$B$67,"Immediate Repairs: Life Safety &amp; Critical",'Narrative &amp; Measures'!$T$28:$T$67,"&gt;="&amp;(Q$321-Alternatives!$I$16)),0)-IF(P$321&gt;=Alternatives!$I$20,'Equipment Inventory'!$BQ$11,0)-IF(P$321&gt;=Alternatives!$I$21,'Equipment Inventory'!$BQ$12,0)-IF(P$321&gt;=Alternatives!$I$22,'Equipment Inventory'!$BQ$13,0)-IF(P$321&gt;=Alternatives!$I$23,'Equipment Inventory'!$BQ$14,0)</f>
        <v>0</v>
      </c>
      <c r="Q330" s="479">
        <f ca="1">$B$330-IF(Q$321&gt;=Alternatives!$I$16,SUMIFS('Narrative &amp; Measures'!$I$28:$I$67,'Narrative &amp; Measures'!$B$28:$B$67,"Deferred Maintenance",'Narrative &amp; Measures'!$T$28:$T$67,"&gt;="&amp;(R$321-Alternatives!$I$16)),0)-IF(Q$321&gt;=Alternatives!$I$15,SUMIFS('Narrative &amp; Measures'!$I$28:$I$67,'Narrative &amp; Measures'!$B$28:$B$67,"Immediate Repairs: Life Safety &amp; Critical",'Narrative &amp; Measures'!$T$28:$T$67,"&gt;="&amp;(R$321-Alternatives!$I$16)),0)-IF(Q$321&gt;=Alternatives!$I$20,'Equipment Inventory'!$BQ$11,0)-IF(Q$321&gt;=Alternatives!$I$21,'Equipment Inventory'!$BQ$12,0)-IF(Q$321&gt;=Alternatives!$I$22,'Equipment Inventory'!$BQ$13,0)-IF(Q$321&gt;=Alternatives!$I$23,'Equipment Inventory'!$BQ$14,0)</f>
        <v>0</v>
      </c>
      <c r="R330" s="479">
        <f ca="1">$B$330-IF(R$321&gt;=Alternatives!$I$16,SUMIFS('Narrative &amp; Measures'!$I$28:$I$67,'Narrative &amp; Measures'!$B$28:$B$67,"Deferred Maintenance",'Narrative &amp; Measures'!$T$28:$T$67,"&gt;="&amp;(S$321-Alternatives!$I$16)),0)-IF(R$321&gt;=Alternatives!$I$15,SUMIFS('Narrative &amp; Measures'!$I$28:$I$67,'Narrative &amp; Measures'!$B$28:$B$67,"Immediate Repairs: Life Safety &amp; Critical",'Narrative &amp; Measures'!$T$28:$T$67,"&gt;="&amp;(S$321-Alternatives!$I$16)),0)-IF(R$321&gt;=Alternatives!$I$20,'Equipment Inventory'!$BQ$11,0)-IF(R$321&gt;=Alternatives!$I$21,'Equipment Inventory'!$BQ$12,0)-IF(R$321&gt;=Alternatives!$I$22,'Equipment Inventory'!$BQ$13,0)-IF(R$321&gt;=Alternatives!$I$23,'Equipment Inventory'!$BQ$14,0)</f>
        <v>0</v>
      </c>
      <c r="S330" s="479">
        <f ca="1">$B$330-IF(S$321&gt;=Alternatives!$I$16,SUMIFS('Narrative &amp; Measures'!$I$28:$I$67,'Narrative &amp; Measures'!$B$28:$B$67,"Deferred Maintenance",'Narrative &amp; Measures'!$T$28:$T$67,"&gt;="&amp;(T$321-Alternatives!$I$16)),0)-IF(S$321&gt;=Alternatives!$I$15,SUMIFS('Narrative &amp; Measures'!$I$28:$I$67,'Narrative &amp; Measures'!$B$28:$B$67,"Immediate Repairs: Life Safety &amp; Critical",'Narrative &amp; Measures'!$T$28:$T$67,"&gt;="&amp;(T$321-Alternatives!$I$16)),0)-IF(S$321&gt;=Alternatives!$I$20,'Equipment Inventory'!$BQ$11,0)-IF(S$321&gt;=Alternatives!$I$21,'Equipment Inventory'!$BQ$12,0)-IF(S$321&gt;=Alternatives!$I$22,'Equipment Inventory'!$BQ$13,0)-IF(S$321&gt;=Alternatives!$I$23,'Equipment Inventory'!$BQ$14,0)</f>
        <v>0</v>
      </c>
      <c r="T330" s="479">
        <f ca="1">$B$330-IF(T$321&gt;=Alternatives!$I$16,SUMIFS('Narrative &amp; Measures'!$I$28:$I$67,'Narrative &amp; Measures'!$B$28:$B$67,"Deferred Maintenance",'Narrative &amp; Measures'!$T$28:$T$67,"&gt;="&amp;(U$321-Alternatives!$I$16)),0)-IF(T$321&gt;=Alternatives!$I$15,SUMIFS('Narrative &amp; Measures'!$I$28:$I$67,'Narrative &amp; Measures'!$B$28:$B$67,"Immediate Repairs: Life Safety &amp; Critical",'Narrative &amp; Measures'!$T$28:$T$67,"&gt;="&amp;(U$321-Alternatives!$I$16)),0)-IF(T$321&gt;=Alternatives!$I$20,'Equipment Inventory'!$BQ$11,0)-IF(T$321&gt;=Alternatives!$I$21,'Equipment Inventory'!$BQ$12,0)-IF(T$321&gt;=Alternatives!$I$22,'Equipment Inventory'!$BQ$13,0)-IF(T$321&gt;=Alternatives!$I$23,'Equipment Inventory'!$BQ$14,0)</f>
        <v>0</v>
      </c>
      <c r="U330" s="479">
        <f ca="1">$B$330-IF(U$321&gt;=Alternatives!$I$16,SUMIFS('Narrative &amp; Measures'!$I$28:$I$67,'Narrative &amp; Measures'!$B$28:$B$67,"Deferred Maintenance",'Narrative &amp; Measures'!$T$28:$T$67,"&gt;="&amp;(V$321-Alternatives!$I$16)),0)-IF(U$321&gt;=Alternatives!$I$15,SUMIFS('Narrative &amp; Measures'!$I$28:$I$67,'Narrative &amp; Measures'!$B$28:$B$67,"Immediate Repairs: Life Safety &amp; Critical",'Narrative &amp; Measures'!$T$28:$T$67,"&gt;="&amp;(V$321-Alternatives!$I$16)),0)-IF(U$321&gt;=Alternatives!$I$20,'Equipment Inventory'!$BQ$11,0)-IF(U$321&gt;=Alternatives!$I$21,'Equipment Inventory'!$BQ$12,0)-IF(U$321&gt;=Alternatives!$I$22,'Equipment Inventory'!$BQ$13,0)-IF(U$321&gt;=Alternatives!$I$23,'Equipment Inventory'!$BQ$14,0)</f>
        <v>0</v>
      </c>
      <c r="V330" s="479">
        <f ca="1">$B$330-IF(V$321&gt;=Alternatives!$I$16,SUMIFS('Narrative &amp; Measures'!$I$28:$I$67,'Narrative &amp; Measures'!$B$28:$B$67,"Deferred Maintenance",'Narrative &amp; Measures'!$T$28:$T$67,"&gt;="&amp;(W$321-Alternatives!$I$16)),0)-IF(V$321&gt;=Alternatives!$I$15,SUMIFS('Narrative &amp; Measures'!$I$28:$I$67,'Narrative &amp; Measures'!$B$28:$B$67,"Immediate Repairs: Life Safety &amp; Critical",'Narrative &amp; Measures'!$T$28:$T$67,"&gt;="&amp;(W$321-Alternatives!$I$16)),0)-IF(V$321&gt;=Alternatives!$I$20,'Equipment Inventory'!$BQ$11,0)-IF(V$321&gt;=Alternatives!$I$21,'Equipment Inventory'!$BQ$12,0)-IF(V$321&gt;=Alternatives!$I$22,'Equipment Inventory'!$BQ$13,0)-IF(V$321&gt;=Alternatives!$I$23,'Equipment Inventory'!$BQ$14,0)</f>
        <v>0</v>
      </c>
      <c r="W330" s="479"/>
    </row>
    <row r="331" spans="1:23" s="375" customFormat="1">
      <c r="A331" s="375" t="str">
        <f t="shared" ref="A331:A335" si="201">A323</f>
        <v>Baseline - Reactive Fines</v>
      </c>
      <c r="B331" s="375">
        <f>'Building Info &amp; Assumptions'!$B$348</f>
        <v>0</v>
      </c>
      <c r="C331" s="479">
        <f>C330</f>
        <v>0</v>
      </c>
      <c r="D331" s="479">
        <f t="shared" ref="D331:V332" ca="1" si="202">D330</f>
        <v>0</v>
      </c>
      <c r="E331" s="479">
        <f t="shared" ca="1" si="202"/>
        <v>0</v>
      </c>
      <c r="F331" s="479">
        <f t="shared" ca="1" si="202"/>
        <v>0</v>
      </c>
      <c r="G331" s="479">
        <f t="shared" ca="1" si="202"/>
        <v>0</v>
      </c>
      <c r="H331" s="479">
        <f t="shared" ca="1" si="202"/>
        <v>0</v>
      </c>
      <c r="I331" s="479">
        <f t="shared" ca="1" si="202"/>
        <v>0</v>
      </c>
      <c r="J331" s="479">
        <f t="shared" ca="1" si="202"/>
        <v>0</v>
      </c>
      <c r="K331" s="479">
        <f t="shared" ca="1" si="202"/>
        <v>0</v>
      </c>
      <c r="L331" s="479">
        <f t="shared" ca="1" si="202"/>
        <v>0</v>
      </c>
      <c r="M331" s="479">
        <f t="shared" ca="1" si="202"/>
        <v>0</v>
      </c>
      <c r="N331" s="479">
        <f t="shared" ca="1" si="202"/>
        <v>0</v>
      </c>
      <c r="O331" s="479">
        <f t="shared" ca="1" si="202"/>
        <v>0</v>
      </c>
      <c r="P331" s="479">
        <f t="shared" ca="1" si="202"/>
        <v>0</v>
      </c>
      <c r="Q331" s="479">
        <f t="shared" ca="1" si="202"/>
        <v>0</v>
      </c>
      <c r="R331" s="479">
        <f t="shared" ca="1" si="202"/>
        <v>0</v>
      </c>
      <c r="S331" s="479">
        <f t="shared" ca="1" si="202"/>
        <v>0</v>
      </c>
      <c r="T331" s="479">
        <f t="shared" ca="1" si="202"/>
        <v>0</v>
      </c>
      <c r="U331" s="479">
        <f t="shared" ca="1" si="202"/>
        <v>0</v>
      </c>
      <c r="V331" s="479">
        <f t="shared" ca="1" si="202"/>
        <v>0</v>
      </c>
    </row>
    <row r="332" spans="1:23" s="375" customFormat="1">
      <c r="A332" s="375" t="str">
        <f t="shared" si="201"/>
        <v>Baseline - Offset Based Compliance</v>
      </c>
      <c r="B332" s="375">
        <f>'Building Info &amp; Assumptions'!$B$348</f>
        <v>0</v>
      </c>
      <c r="C332" s="479">
        <f>C331</f>
        <v>0</v>
      </c>
      <c r="D332" s="479">
        <f t="shared" ca="1" si="202"/>
        <v>0</v>
      </c>
      <c r="E332" s="479">
        <f t="shared" ca="1" si="202"/>
        <v>0</v>
      </c>
      <c r="F332" s="479">
        <f t="shared" ca="1" si="202"/>
        <v>0</v>
      </c>
      <c r="G332" s="479">
        <f t="shared" ca="1" si="202"/>
        <v>0</v>
      </c>
      <c r="H332" s="479">
        <f t="shared" ca="1" si="202"/>
        <v>0</v>
      </c>
      <c r="I332" s="479">
        <f t="shared" ca="1" si="202"/>
        <v>0</v>
      </c>
      <c r="J332" s="479">
        <f t="shared" ca="1" si="202"/>
        <v>0</v>
      </c>
      <c r="K332" s="479">
        <f t="shared" ca="1" si="202"/>
        <v>0</v>
      </c>
      <c r="L332" s="479">
        <f t="shared" ca="1" si="202"/>
        <v>0</v>
      </c>
      <c r="M332" s="479">
        <f t="shared" ca="1" si="202"/>
        <v>0</v>
      </c>
      <c r="N332" s="479">
        <f t="shared" ca="1" si="202"/>
        <v>0</v>
      </c>
      <c r="O332" s="479">
        <f t="shared" ca="1" si="202"/>
        <v>0</v>
      </c>
      <c r="P332" s="479">
        <f t="shared" ca="1" si="202"/>
        <v>0</v>
      </c>
      <c r="Q332" s="479">
        <f t="shared" ca="1" si="202"/>
        <v>0</v>
      </c>
      <c r="R332" s="479">
        <f t="shared" ca="1" si="202"/>
        <v>0</v>
      </c>
      <c r="S332" s="479">
        <f t="shared" ca="1" si="202"/>
        <v>0</v>
      </c>
      <c r="T332" s="479">
        <f t="shared" ca="1" si="202"/>
        <v>0</v>
      </c>
      <c r="U332" s="479">
        <f t="shared" ca="1" si="202"/>
        <v>0</v>
      </c>
      <c r="V332" s="479">
        <f t="shared" ca="1" si="202"/>
        <v>0</v>
      </c>
    </row>
    <row r="333" spans="1:23" s="375" customFormat="1">
      <c r="A333" s="375" t="str">
        <f t="shared" si="201"/>
        <v>Alternative 1</v>
      </c>
      <c r="B333" s="375">
        <f>'Building Info &amp; Assumptions'!$B$348</f>
        <v>0</v>
      </c>
      <c r="C333" s="375" cm="1">
        <f t="array" ref="C333">$B333-SUM(SUMIFS('Narrative &amp; Measures'!$I$28:$I$67,'Narrative &amp; Measures'!$A$28:$A$67,Alternatives!$C$38:$C$57,'Narrative &amp; Measures'!$BV$28:$BV$67,"&lt;="&amp;C$321,'Narrative &amp; Measures'!$CD$28:$CD$67,"&gt;="&amp;D$321))</f>
        <v>0</v>
      </c>
      <c r="D333" s="375" cm="1">
        <f t="array" ref="D333">$B333-SUM(SUMIFS('Narrative &amp; Measures'!$I$28:$I$67,'Narrative &amp; Measures'!$A$28:$A$67,Alternatives!$C$38:$C$57,'Narrative &amp; Measures'!$BV$28:$BV$67,"&lt;="&amp;D$321,'Narrative &amp; Measures'!$CD$28:$CD$67,"&gt;="&amp;E$321))</f>
        <v>0</v>
      </c>
      <c r="E333" s="375" cm="1">
        <f t="array" ref="E333">$B333-SUM(SUMIFS('Narrative &amp; Measures'!$I$28:$I$67,'Narrative &amp; Measures'!$A$28:$A$67,Alternatives!$C$38:$C$57,'Narrative &amp; Measures'!$BV$28:$BV$67,"&lt;="&amp;E$321,'Narrative &amp; Measures'!$CD$28:$CD$67,"&gt;="&amp;F$321))</f>
        <v>0</v>
      </c>
      <c r="F333" s="375" cm="1">
        <f t="array" ref="F333">$B333-SUM(SUMIFS('Narrative &amp; Measures'!$I$28:$I$67,'Narrative &amp; Measures'!$A$28:$A$67,Alternatives!$C$38:$C$57,'Narrative &amp; Measures'!$BV$28:$BV$67,"&lt;="&amp;F$321,'Narrative &amp; Measures'!$CD$28:$CD$67,"&gt;="&amp;G$321))</f>
        <v>0</v>
      </c>
      <c r="G333" s="375" cm="1">
        <f t="array" ref="G333">$B333-SUM(SUMIFS('Narrative &amp; Measures'!$I$28:$I$67,'Narrative &amp; Measures'!$A$28:$A$67,Alternatives!$C$38:$C$57,'Narrative &amp; Measures'!$BV$28:$BV$67,"&lt;="&amp;G$321,'Narrative &amp; Measures'!$CD$28:$CD$67,"&gt;="&amp;H$321))</f>
        <v>0</v>
      </c>
      <c r="H333" s="375" cm="1">
        <f t="array" ref="H333">$B333-SUM(SUMIFS('Narrative &amp; Measures'!$I$28:$I$67,'Narrative &amp; Measures'!$A$28:$A$67,Alternatives!$C$38:$C$57,'Narrative &amp; Measures'!$BV$28:$BV$67,"&lt;="&amp;H$321,'Narrative &amp; Measures'!$CD$28:$CD$67,"&gt;="&amp;I$321))</f>
        <v>0</v>
      </c>
      <c r="I333" s="375" cm="1">
        <f t="array" ref="I333">$B333-SUM(SUMIFS('Narrative &amp; Measures'!$I$28:$I$67,'Narrative &amp; Measures'!$A$28:$A$67,Alternatives!$C$38:$C$57,'Narrative &amp; Measures'!$BV$28:$BV$67,"&lt;="&amp;I$321,'Narrative &amp; Measures'!$CD$28:$CD$67,"&gt;="&amp;J$321))</f>
        <v>0</v>
      </c>
      <c r="J333" s="375" cm="1">
        <f t="array" ref="J333">$B333-SUM(SUMIFS('Narrative &amp; Measures'!$I$28:$I$67,'Narrative &amp; Measures'!$A$28:$A$67,Alternatives!$C$38:$C$57,'Narrative &amp; Measures'!$BV$28:$BV$67,"&lt;="&amp;J$321,'Narrative &amp; Measures'!$CD$28:$CD$67,"&gt;="&amp;K$321))</f>
        <v>0</v>
      </c>
      <c r="K333" s="375" cm="1">
        <f t="array" ref="K333">$B333-SUM(SUMIFS('Narrative &amp; Measures'!$I$28:$I$67,'Narrative &amp; Measures'!$A$28:$A$67,Alternatives!$C$38:$C$57,'Narrative &amp; Measures'!$BV$28:$BV$67,"&lt;="&amp;K$321,'Narrative &amp; Measures'!$CD$28:$CD$67,"&gt;="&amp;L$321))</f>
        <v>0</v>
      </c>
      <c r="L333" s="375" cm="1">
        <f t="array" ref="L333">$B333-SUM(SUMIFS('Narrative &amp; Measures'!$I$28:$I$67,'Narrative &amp; Measures'!$A$28:$A$67,Alternatives!$C$38:$C$57,'Narrative &amp; Measures'!$BV$28:$BV$67,"&lt;="&amp;L$321,'Narrative &amp; Measures'!$CD$28:$CD$67,"&gt;="&amp;M$321))</f>
        <v>0</v>
      </c>
      <c r="M333" s="375" cm="1">
        <f t="array" ref="M333">$B333-SUM(SUMIFS('Narrative &amp; Measures'!$I$28:$I$67,'Narrative &amp; Measures'!$A$28:$A$67,Alternatives!$C$38:$C$57,'Narrative &amp; Measures'!$BV$28:$BV$67,"&lt;="&amp;M$321,'Narrative &amp; Measures'!$CD$28:$CD$67,"&gt;="&amp;N$321))</f>
        <v>0</v>
      </c>
      <c r="N333" s="375" cm="1">
        <f t="array" ref="N333">$B333-SUM(SUMIFS('Narrative &amp; Measures'!$I$28:$I$67,'Narrative &amp; Measures'!$A$28:$A$67,Alternatives!$C$38:$C$57,'Narrative &amp; Measures'!$BV$28:$BV$67,"&lt;="&amp;N$321,'Narrative &amp; Measures'!$CD$28:$CD$67,"&gt;="&amp;O$321))</f>
        <v>0</v>
      </c>
      <c r="O333" s="375" cm="1">
        <f t="array" ref="O333">$B333-SUM(SUMIFS('Narrative &amp; Measures'!$I$28:$I$67,'Narrative &amp; Measures'!$A$28:$A$67,Alternatives!$C$38:$C$57,'Narrative &amp; Measures'!$BV$28:$BV$67,"&lt;="&amp;O$321,'Narrative &amp; Measures'!$CD$28:$CD$67,"&gt;="&amp;P$321))</f>
        <v>0</v>
      </c>
      <c r="P333" s="375" cm="1">
        <f t="array" ref="P333">$B333-SUM(SUMIFS('Narrative &amp; Measures'!$I$28:$I$67,'Narrative &amp; Measures'!$A$28:$A$67,Alternatives!$C$38:$C$57,'Narrative &amp; Measures'!$BV$28:$BV$67,"&lt;="&amp;P$321,'Narrative &amp; Measures'!$CD$28:$CD$67,"&gt;="&amp;Q$321))</f>
        <v>0</v>
      </c>
      <c r="Q333" s="375" cm="1">
        <f t="array" ref="Q333">$B333-SUM(SUMIFS('Narrative &amp; Measures'!$I$28:$I$67,'Narrative &amp; Measures'!$A$28:$A$67,Alternatives!$C$38:$C$57,'Narrative &amp; Measures'!$BV$28:$BV$67,"&lt;="&amp;Q$321,'Narrative &amp; Measures'!$CD$28:$CD$67,"&gt;="&amp;R$321))</f>
        <v>0</v>
      </c>
      <c r="R333" s="375" cm="1">
        <f t="array" ref="R333">$B333-SUM(SUMIFS('Narrative &amp; Measures'!$I$28:$I$67,'Narrative &amp; Measures'!$A$28:$A$67,Alternatives!$C$38:$C$57,'Narrative &amp; Measures'!$BV$28:$BV$67,"&lt;="&amp;R$321,'Narrative &amp; Measures'!$CD$28:$CD$67,"&gt;="&amp;S$321))</f>
        <v>0</v>
      </c>
      <c r="S333" s="375" cm="1">
        <f t="array" ref="S333">$B333-SUM(SUMIFS('Narrative &amp; Measures'!$I$28:$I$67,'Narrative &amp; Measures'!$A$28:$A$67,Alternatives!$C$38:$C$57,'Narrative &amp; Measures'!$BV$28:$BV$67,"&lt;="&amp;S$321,'Narrative &amp; Measures'!$CD$28:$CD$67,"&gt;="&amp;T$321))</f>
        <v>0</v>
      </c>
      <c r="T333" s="375" cm="1">
        <f t="array" ref="T333">$B333-SUM(SUMIFS('Narrative &amp; Measures'!$I$28:$I$67,'Narrative &amp; Measures'!$A$28:$A$67,Alternatives!$C$38:$C$57,'Narrative &amp; Measures'!$BV$28:$BV$67,"&lt;="&amp;T$321,'Narrative &amp; Measures'!$CD$28:$CD$67,"&gt;="&amp;U$321))</f>
        <v>0</v>
      </c>
      <c r="U333" s="375" cm="1">
        <f t="array" ref="U333">$B333-SUM(SUMIFS('Narrative &amp; Measures'!$I$28:$I$67,'Narrative &amp; Measures'!$A$28:$A$67,Alternatives!$C$38:$C$57,'Narrative &amp; Measures'!$BV$28:$BV$67,"&lt;="&amp;U$321,'Narrative &amp; Measures'!$CD$28:$CD$67,"&gt;="&amp;V$321))</f>
        <v>0</v>
      </c>
      <c r="V333" s="375" cm="1">
        <f t="array" ref="V333">$B333-SUM(SUMIFS('Narrative &amp; Measures'!$I$28:$I$67,'Narrative &amp; Measures'!$A$28:$A$67,Alternatives!$C$38:$C$57,'Narrative &amp; Measures'!$BV$28:$BV$67,"&lt;="&amp;V$321,'Narrative &amp; Measures'!$CD$28:$CD$67,"&gt;="&amp;W$321))</f>
        <v>0</v>
      </c>
    </row>
    <row r="334" spans="1:23" s="375" customFormat="1">
      <c r="A334" s="375" t="str">
        <f t="shared" si="201"/>
        <v>Alternative 2</v>
      </c>
      <c r="B334" s="375">
        <f>'Building Info &amp; Assumptions'!$B$348</f>
        <v>0</v>
      </c>
      <c r="C334" s="375" cm="1">
        <f t="array" ref="C334">$B334-SUM(SUMIFS('Narrative &amp; Measures'!$I$28:$I$67,'Narrative &amp; Measures'!$A$28:$A$67,Alternatives!$C$63:$C$82,'Narrative &amp; Measures'!$BW$28:$BW$67,"&lt;="&amp;C$321,'Narrative &amp; Measures'!$CE$28:$CE$67,"&gt;="&amp;D$321))</f>
        <v>0</v>
      </c>
      <c r="D334" s="375" cm="1">
        <f t="array" ref="D334">$B334-SUM(SUMIFS('Narrative &amp; Measures'!$I$28:$I$67,'Narrative &amp; Measures'!$A$28:$A$67,Alternatives!$C$63:$C$82,'Narrative &amp; Measures'!$BW$28:$BW$67,"&lt;="&amp;D$321,'Narrative &amp; Measures'!$CE$28:$CE$67,"&gt;="&amp;E$321))</f>
        <v>0</v>
      </c>
      <c r="E334" s="375" cm="1">
        <f t="array" ref="E334">$B334-SUM(SUMIFS('Narrative &amp; Measures'!$I$28:$I$67,'Narrative &amp; Measures'!$A$28:$A$67,Alternatives!$C$63:$C$82,'Narrative &amp; Measures'!$BW$28:$BW$67,"&lt;="&amp;E$321,'Narrative &amp; Measures'!$CE$28:$CE$67,"&gt;="&amp;F$321))</f>
        <v>0</v>
      </c>
      <c r="F334" s="375" cm="1">
        <f t="array" ref="F334">$B334-SUM(SUMIFS('Narrative &amp; Measures'!$I$28:$I$67,'Narrative &amp; Measures'!$A$28:$A$67,Alternatives!$C$63:$C$82,'Narrative &amp; Measures'!$BW$28:$BW$67,"&lt;="&amp;F$321,'Narrative &amp; Measures'!$CE$28:$CE$67,"&gt;="&amp;G$321))</f>
        <v>0</v>
      </c>
      <c r="G334" s="375" cm="1">
        <f t="array" ref="G334">$B334-SUM(SUMIFS('Narrative &amp; Measures'!$I$28:$I$67,'Narrative &amp; Measures'!$A$28:$A$67,Alternatives!$C$63:$C$82,'Narrative &amp; Measures'!$BW$28:$BW$67,"&lt;="&amp;G$321,'Narrative &amp; Measures'!$CE$28:$CE$67,"&gt;="&amp;H$321))</f>
        <v>0</v>
      </c>
      <c r="H334" s="375" cm="1">
        <f t="array" ref="H334">$B334-SUM(SUMIFS('Narrative &amp; Measures'!$I$28:$I$67,'Narrative &amp; Measures'!$A$28:$A$67,Alternatives!$C$63:$C$82,'Narrative &amp; Measures'!$BW$28:$BW$67,"&lt;="&amp;H$321,'Narrative &amp; Measures'!$CE$28:$CE$67,"&gt;="&amp;I$321))</f>
        <v>0</v>
      </c>
      <c r="I334" s="375" cm="1">
        <f t="array" ref="I334">$B334-SUM(SUMIFS('Narrative &amp; Measures'!$I$28:$I$67,'Narrative &amp; Measures'!$A$28:$A$67,Alternatives!$C$63:$C$82,'Narrative &amp; Measures'!$BW$28:$BW$67,"&lt;="&amp;I$321,'Narrative &amp; Measures'!$CE$28:$CE$67,"&gt;="&amp;J$321))</f>
        <v>0</v>
      </c>
      <c r="J334" s="375" cm="1">
        <f t="array" ref="J334">$B334-SUM(SUMIFS('Narrative &amp; Measures'!$I$28:$I$67,'Narrative &amp; Measures'!$A$28:$A$67,Alternatives!$C$63:$C$82,'Narrative &amp; Measures'!$BW$28:$BW$67,"&lt;="&amp;J$321,'Narrative &amp; Measures'!$CE$28:$CE$67,"&gt;="&amp;K$321))</f>
        <v>0</v>
      </c>
      <c r="K334" s="375" cm="1">
        <f t="array" ref="K334">$B334-SUM(SUMIFS('Narrative &amp; Measures'!$I$28:$I$67,'Narrative &amp; Measures'!$A$28:$A$67,Alternatives!$C$63:$C$82,'Narrative &amp; Measures'!$BW$28:$BW$67,"&lt;="&amp;K$321,'Narrative &amp; Measures'!$CE$28:$CE$67,"&gt;="&amp;L$321))</f>
        <v>0</v>
      </c>
      <c r="L334" s="375" cm="1">
        <f t="array" ref="L334">$B334-SUM(SUMIFS('Narrative &amp; Measures'!$I$28:$I$67,'Narrative &amp; Measures'!$A$28:$A$67,Alternatives!$C$63:$C$82,'Narrative &amp; Measures'!$BW$28:$BW$67,"&lt;="&amp;L$321,'Narrative &amp; Measures'!$CE$28:$CE$67,"&gt;="&amp;M$321))</f>
        <v>0</v>
      </c>
      <c r="M334" s="375" cm="1">
        <f t="array" ref="M334">$B334-SUM(SUMIFS('Narrative &amp; Measures'!$I$28:$I$67,'Narrative &amp; Measures'!$A$28:$A$67,Alternatives!$C$63:$C$82,'Narrative &amp; Measures'!$BW$28:$BW$67,"&lt;="&amp;M$321,'Narrative &amp; Measures'!$CE$28:$CE$67,"&gt;="&amp;N$321))</f>
        <v>0</v>
      </c>
      <c r="N334" s="375" cm="1">
        <f t="array" ref="N334">$B334-SUM(SUMIFS('Narrative &amp; Measures'!$I$28:$I$67,'Narrative &amp; Measures'!$A$28:$A$67,Alternatives!$C$63:$C$82,'Narrative &amp; Measures'!$BW$28:$BW$67,"&lt;="&amp;N$321,'Narrative &amp; Measures'!$CE$28:$CE$67,"&gt;="&amp;O$321))</f>
        <v>0</v>
      </c>
      <c r="O334" s="375" cm="1">
        <f t="array" ref="O334">$B334-SUM(SUMIFS('Narrative &amp; Measures'!$I$28:$I$67,'Narrative &amp; Measures'!$A$28:$A$67,Alternatives!$C$63:$C$82,'Narrative &amp; Measures'!$BW$28:$BW$67,"&lt;="&amp;O$321,'Narrative &amp; Measures'!$CE$28:$CE$67,"&gt;="&amp;P$321))</f>
        <v>0</v>
      </c>
      <c r="P334" s="375" cm="1">
        <f t="array" ref="P334">$B334-SUM(SUMIFS('Narrative &amp; Measures'!$I$28:$I$67,'Narrative &amp; Measures'!$A$28:$A$67,Alternatives!$C$63:$C$82,'Narrative &amp; Measures'!$BW$28:$BW$67,"&lt;="&amp;P$321,'Narrative &amp; Measures'!$CE$28:$CE$67,"&gt;="&amp;Q$321))</f>
        <v>0</v>
      </c>
      <c r="Q334" s="375" cm="1">
        <f t="array" ref="Q334">$B334-SUM(SUMIFS('Narrative &amp; Measures'!$I$28:$I$67,'Narrative &amp; Measures'!$A$28:$A$67,Alternatives!$C$63:$C$82,'Narrative &amp; Measures'!$BW$28:$BW$67,"&lt;="&amp;Q$321,'Narrative &amp; Measures'!$CE$28:$CE$67,"&gt;="&amp;R$321))</f>
        <v>0</v>
      </c>
      <c r="R334" s="375" cm="1">
        <f t="array" ref="R334">$B334-SUM(SUMIFS('Narrative &amp; Measures'!$I$28:$I$67,'Narrative &amp; Measures'!$A$28:$A$67,Alternatives!$C$63:$C$82,'Narrative &amp; Measures'!$BW$28:$BW$67,"&lt;="&amp;R$321,'Narrative &amp; Measures'!$CE$28:$CE$67,"&gt;="&amp;S$321))</f>
        <v>0</v>
      </c>
      <c r="S334" s="375" cm="1">
        <f t="array" ref="S334">$B334-SUM(SUMIFS('Narrative &amp; Measures'!$I$28:$I$67,'Narrative &amp; Measures'!$A$28:$A$67,Alternatives!$C$63:$C$82,'Narrative &amp; Measures'!$BW$28:$BW$67,"&lt;="&amp;S$321,'Narrative &amp; Measures'!$CE$28:$CE$67,"&gt;="&amp;T$321))</f>
        <v>0</v>
      </c>
      <c r="T334" s="375" cm="1">
        <f t="array" ref="T334">$B334-SUM(SUMIFS('Narrative &amp; Measures'!$I$28:$I$67,'Narrative &amp; Measures'!$A$28:$A$67,Alternatives!$C$63:$C$82,'Narrative &amp; Measures'!$BW$28:$BW$67,"&lt;="&amp;T$321,'Narrative &amp; Measures'!$CE$28:$CE$67,"&gt;="&amp;U$321))</f>
        <v>0</v>
      </c>
      <c r="U334" s="375" cm="1">
        <f t="array" ref="U334">$B334-SUM(SUMIFS('Narrative &amp; Measures'!$I$28:$I$67,'Narrative &amp; Measures'!$A$28:$A$67,Alternatives!$C$63:$C$82,'Narrative &amp; Measures'!$BW$28:$BW$67,"&lt;="&amp;U$321,'Narrative &amp; Measures'!$CE$28:$CE$67,"&gt;="&amp;V$321))</f>
        <v>0</v>
      </c>
      <c r="V334" s="375" cm="1">
        <f t="array" ref="V334">$B334-SUM(SUMIFS('Narrative &amp; Measures'!$I$28:$I$67,'Narrative &amp; Measures'!$A$28:$A$67,Alternatives!$C$63:$C$82,'Narrative &amp; Measures'!$BW$28:$BW$67,"&lt;="&amp;V$321,'Narrative &amp; Measures'!$CE$28:$CE$67,"&gt;="&amp;W$321))</f>
        <v>0</v>
      </c>
    </row>
    <row r="335" spans="1:23" s="375" customFormat="1">
      <c r="A335" s="375" t="str">
        <f t="shared" si="201"/>
        <v>Alternative 3</v>
      </c>
      <c r="B335" s="375">
        <f>'Building Info &amp; Assumptions'!$B$348</f>
        <v>0</v>
      </c>
      <c r="C335" s="375" cm="1">
        <f t="array" ref="C335">$B335-SUM(SUMIFS('Narrative &amp; Measures'!$I$28:$I$67,'Narrative &amp; Measures'!$A$28:$A$67,Alternatives!$C$88:$C$107,'Narrative &amp; Measures'!$BX$28:$BX$67,"&lt;="&amp;C$321,'Narrative &amp; Measures'!$CF$28:$CF$67,"&gt;="&amp;D$321))</f>
        <v>0</v>
      </c>
      <c r="D335" s="375" cm="1">
        <f t="array" ref="D335">$B335-SUM(SUMIFS('Narrative &amp; Measures'!$I$28:$I$67,'Narrative &amp; Measures'!$A$28:$A$67,Alternatives!$C$88:$C$107,'Narrative &amp; Measures'!$BX$28:$BX$67,"&lt;="&amp;D$321,'Narrative &amp; Measures'!$CF$28:$CF$67,"&gt;="&amp;E$321))</f>
        <v>0</v>
      </c>
      <c r="E335" s="375" cm="1">
        <f t="array" ref="E335">$B335-SUM(SUMIFS('Narrative &amp; Measures'!$I$28:$I$67,'Narrative &amp; Measures'!$A$28:$A$67,Alternatives!$C$88:$C$107,'Narrative &amp; Measures'!$BX$28:$BX$67,"&lt;="&amp;E$321,'Narrative &amp; Measures'!$CF$28:$CF$67,"&gt;="&amp;F$321))</f>
        <v>0</v>
      </c>
      <c r="F335" s="375" cm="1">
        <f t="array" ref="F335">$B335-SUM(SUMIFS('Narrative &amp; Measures'!$I$28:$I$67,'Narrative &amp; Measures'!$A$28:$A$67,Alternatives!$C$88:$C$107,'Narrative &amp; Measures'!$BX$28:$BX$67,"&lt;="&amp;F$321,'Narrative &amp; Measures'!$CF$28:$CF$67,"&gt;="&amp;G$321))</f>
        <v>0</v>
      </c>
      <c r="G335" s="375" cm="1">
        <f t="array" ref="G335">$B335-SUM(SUMIFS('Narrative &amp; Measures'!$I$28:$I$67,'Narrative &amp; Measures'!$A$28:$A$67,Alternatives!$C$88:$C$107,'Narrative &amp; Measures'!$BX$28:$BX$67,"&lt;="&amp;G$321,'Narrative &amp; Measures'!$CF$28:$CF$67,"&gt;="&amp;H$321))</f>
        <v>0</v>
      </c>
      <c r="H335" s="375" cm="1">
        <f t="array" ref="H335">$B335-SUM(SUMIFS('Narrative &amp; Measures'!$I$28:$I$67,'Narrative &amp; Measures'!$A$28:$A$67,Alternatives!$C$88:$C$107,'Narrative &amp; Measures'!$BX$28:$BX$67,"&lt;="&amp;H$321,'Narrative &amp; Measures'!$CF$28:$CF$67,"&gt;="&amp;I$321))</f>
        <v>0</v>
      </c>
      <c r="I335" s="375" cm="1">
        <f t="array" ref="I335">$B335-SUM(SUMIFS('Narrative &amp; Measures'!$I$28:$I$67,'Narrative &amp; Measures'!$A$28:$A$67,Alternatives!$C$88:$C$107,'Narrative &amp; Measures'!$BX$28:$BX$67,"&lt;="&amp;I$321,'Narrative &amp; Measures'!$CF$28:$CF$67,"&gt;="&amp;J$321))</f>
        <v>0</v>
      </c>
      <c r="J335" s="375" cm="1">
        <f t="array" ref="J335">$B335-SUM(SUMIFS('Narrative &amp; Measures'!$I$28:$I$67,'Narrative &amp; Measures'!$A$28:$A$67,Alternatives!$C$88:$C$107,'Narrative &amp; Measures'!$BX$28:$BX$67,"&lt;="&amp;J$321,'Narrative &amp; Measures'!$CF$28:$CF$67,"&gt;="&amp;K$321))</f>
        <v>0</v>
      </c>
      <c r="K335" s="375" cm="1">
        <f t="array" ref="K335">$B335-SUM(SUMIFS('Narrative &amp; Measures'!$I$28:$I$67,'Narrative &amp; Measures'!$A$28:$A$67,Alternatives!$C$88:$C$107,'Narrative &amp; Measures'!$BX$28:$BX$67,"&lt;="&amp;K$321,'Narrative &amp; Measures'!$CF$28:$CF$67,"&gt;="&amp;L$321))</f>
        <v>0</v>
      </c>
      <c r="L335" s="375" cm="1">
        <f t="array" ref="L335">$B335-SUM(SUMIFS('Narrative &amp; Measures'!$I$28:$I$67,'Narrative &amp; Measures'!$A$28:$A$67,Alternatives!$C$88:$C$107,'Narrative &amp; Measures'!$BX$28:$BX$67,"&lt;="&amp;L$321,'Narrative &amp; Measures'!$CF$28:$CF$67,"&gt;="&amp;M$321))</f>
        <v>0</v>
      </c>
      <c r="M335" s="375" cm="1">
        <f t="array" ref="M335">$B335-SUM(SUMIFS('Narrative &amp; Measures'!$I$28:$I$67,'Narrative &amp; Measures'!$A$28:$A$67,Alternatives!$C$88:$C$107,'Narrative &amp; Measures'!$BX$28:$BX$67,"&lt;="&amp;M$321,'Narrative &amp; Measures'!$CF$28:$CF$67,"&gt;="&amp;N$321))</f>
        <v>0</v>
      </c>
      <c r="N335" s="375" cm="1">
        <f t="array" ref="N335">$B335-SUM(SUMIFS('Narrative &amp; Measures'!$I$28:$I$67,'Narrative &amp; Measures'!$A$28:$A$67,Alternatives!$C$88:$C$107,'Narrative &amp; Measures'!$BX$28:$BX$67,"&lt;="&amp;N$321,'Narrative &amp; Measures'!$CF$28:$CF$67,"&gt;="&amp;O$321))</f>
        <v>0</v>
      </c>
      <c r="O335" s="375" cm="1">
        <f t="array" ref="O335">$B335-SUM(SUMIFS('Narrative &amp; Measures'!$I$28:$I$67,'Narrative &amp; Measures'!$A$28:$A$67,Alternatives!$C$88:$C$107,'Narrative &amp; Measures'!$BX$28:$BX$67,"&lt;="&amp;O$321,'Narrative &amp; Measures'!$CF$28:$CF$67,"&gt;="&amp;P$321))</f>
        <v>0</v>
      </c>
      <c r="P335" s="375" cm="1">
        <f t="array" ref="P335">$B335-SUM(SUMIFS('Narrative &amp; Measures'!$I$28:$I$67,'Narrative &amp; Measures'!$A$28:$A$67,Alternatives!$C$88:$C$107,'Narrative &amp; Measures'!$BX$28:$BX$67,"&lt;="&amp;P$321,'Narrative &amp; Measures'!$CF$28:$CF$67,"&gt;="&amp;Q$321))</f>
        <v>0</v>
      </c>
      <c r="Q335" s="375" cm="1">
        <f t="array" ref="Q335">$B335-SUM(SUMIFS('Narrative &amp; Measures'!$I$28:$I$67,'Narrative &amp; Measures'!$A$28:$A$67,Alternatives!$C$88:$C$107,'Narrative &amp; Measures'!$BX$28:$BX$67,"&lt;="&amp;Q$321,'Narrative &amp; Measures'!$CF$28:$CF$67,"&gt;="&amp;R$321))</f>
        <v>0</v>
      </c>
      <c r="R335" s="375" cm="1">
        <f t="array" ref="R335">$B335-SUM(SUMIFS('Narrative &amp; Measures'!$I$28:$I$67,'Narrative &amp; Measures'!$A$28:$A$67,Alternatives!$C$88:$C$107,'Narrative &amp; Measures'!$BX$28:$BX$67,"&lt;="&amp;R$321,'Narrative &amp; Measures'!$CF$28:$CF$67,"&gt;="&amp;S$321))</f>
        <v>0</v>
      </c>
      <c r="S335" s="375" cm="1">
        <f t="array" ref="S335">$B335-SUM(SUMIFS('Narrative &amp; Measures'!$I$28:$I$67,'Narrative &amp; Measures'!$A$28:$A$67,Alternatives!$C$88:$C$107,'Narrative &amp; Measures'!$BX$28:$BX$67,"&lt;="&amp;S$321,'Narrative &amp; Measures'!$CF$28:$CF$67,"&gt;="&amp;T$321))</f>
        <v>0</v>
      </c>
      <c r="T335" s="375" cm="1">
        <f t="array" ref="T335">$B335-SUM(SUMIFS('Narrative &amp; Measures'!$I$28:$I$67,'Narrative &amp; Measures'!$A$28:$A$67,Alternatives!$C$88:$C$107,'Narrative &amp; Measures'!$BX$28:$BX$67,"&lt;="&amp;T$321,'Narrative &amp; Measures'!$CF$28:$CF$67,"&gt;="&amp;U$321))</f>
        <v>0</v>
      </c>
      <c r="U335" s="375" cm="1">
        <f t="array" ref="U335">$B335-SUM(SUMIFS('Narrative &amp; Measures'!$I$28:$I$67,'Narrative &amp; Measures'!$A$28:$A$67,Alternatives!$C$88:$C$107,'Narrative &amp; Measures'!$BX$28:$BX$67,"&lt;="&amp;U$321,'Narrative &amp; Measures'!$CF$28:$CF$67,"&gt;="&amp;V$321))</f>
        <v>0</v>
      </c>
      <c r="V335" s="375" cm="1">
        <f t="array" ref="V335">$B335-SUM(SUMIFS('Narrative &amp; Measures'!$I$28:$I$67,'Narrative &amp; Measures'!$A$28:$A$67,Alternatives!$C$88:$C$107,'Narrative &amp; Measures'!$BX$28:$BX$67,"&lt;="&amp;V$321,'Narrative &amp; Measures'!$CF$28:$CF$67,"&gt;="&amp;W$321))</f>
        <v>0</v>
      </c>
    </row>
    <row r="336" spans="1:23" s="375" customFormat="1"/>
    <row r="337" spans="1:22" s="375" customFormat="1">
      <c r="A337" s="375" t="s">
        <v>619</v>
      </c>
    </row>
    <row r="338" spans="1:22" s="375" customFormat="1">
      <c r="A338" s="375" t="str">
        <f>A330</f>
        <v>Baseline Reactive (Cap Op St+IR DM)</v>
      </c>
      <c r="B338" s="375">
        <f>'Building Info &amp; Assumptions'!$B$349</f>
        <v>91000000</v>
      </c>
      <c r="C338" s="375">
        <f>$B$338-IF(C$321&gt;=Alternatives!$I$16,SUMIFS('Narrative &amp; Measures'!$J$28:$J$67,'Narrative &amp; Measures'!$B$28:$B$67,"Deferred Maintenance",'Narrative &amp; Measures'!$T$28:$T$67,"&gt;="&amp;(D$321-Alternatives!$I$16)),0)-IF(C$321&gt;=Alternatives!$I$15,SUMIFS('Narrative &amp; Measures'!$J$28:$J$67,'Narrative &amp; Measures'!$B$28:$B$67,"Immediate Repairs: Life Safety &amp; Critical",'Narrative &amp; Measures'!$T$28:$T$67,"&gt;="&amp;(D$321-Alternatives!$I$16)),0)-IF(C$321&gt;=Alternatives!$I$20,'Equipment Inventory'!$BR$11,0)-IF(C$321&gt;=Alternatives!$I$21,'Equipment Inventory'!$BR$12,0)-IF(C$321&gt;=Alternatives!$I$22,'Equipment Inventory'!$BR$13,0)-IF(C$321&gt;=Alternatives!$I$23,'Equipment Inventory'!$BR$14,0)</f>
        <v>91000000</v>
      </c>
      <c r="D338" s="375">
        <f ca="1">$B$338-IF(D$321&gt;=Alternatives!$I$16,SUMIFS('Narrative &amp; Measures'!$J$28:$J$67,'Narrative &amp; Measures'!$B$28:$B$67,"Deferred Maintenance",'Narrative &amp; Measures'!$T$28:$T$67,"&gt;="&amp;(E$321-Alternatives!$I$16)),0)-IF(D$321&gt;=Alternatives!$I$15,SUMIFS('Narrative &amp; Measures'!$J$28:$J$67,'Narrative &amp; Measures'!$B$28:$B$67,"Immediate Repairs: Life Safety &amp; Critical",'Narrative &amp; Measures'!$T$28:$T$67,"&gt;="&amp;(E$321-Alternatives!$I$16)),0)-IF(D$321&gt;=Alternatives!$I$20,'Equipment Inventory'!$BR$11,0)-IF(D$321&gt;=Alternatives!$I$21,'Equipment Inventory'!$BR$12,0)-IF(D$321&gt;=Alternatives!$I$22,'Equipment Inventory'!$BR$13,0)-IF(D$321&gt;=Alternatives!$I$23,'Equipment Inventory'!$BR$14,0)</f>
        <v>89180000</v>
      </c>
      <c r="E338" s="375">
        <f ca="1">$B$338-IF(E$321&gt;=Alternatives!$I$16,SUMIFS('Narrative &amp; Measures'!$J$28:$J$67,'Narrative &amp; Measures'!$B$28:$B$67,"Deferred Maintenance",'Narrative &amp; Measures'!$T$28:$T$67,"&gt;="&amp;(F$321-Alternatives!$I$16)),0)-IF(E$321&gt;=Alternatives!$I$15,SUMIFS('Narrative &amp; Measures'!$J$28:$J$67,'Narrative &amp; Measures'!$B$28:$B$67,"Immediate Repairs: Life Safety &amp; Critical",'Narrative &amp; Measures'!$T$28:$T$67,"&gt;="&amp;(F$321-Alternatives!$I$16)),0)-IF(E$321&gt;=Alternatives!$I$20,'Equipment Inventory'!$BR$11,0)-IF(E$321&gt;=Alternatives!$I$21,'Equipment Inventory'!$BR$12,0)-IF(E$321&gt;=Alternatives!$I$22,'Equipment Inventory'!$BR$13,0)-IF(E$321&gt;=Alternatives!$I$23,'Equipment Inventory'!$BR$14,0)</f>
        <v>89180000</v>
      </c>
      <c r="F338" s="375">
        <f ca="1">$B$338-IF(F$321&gt;=Alternatives!$I$16,SUMIFS('Narrative &amp; Measures'!$J$28:$J$67,'Narrative &amp; Measures'!$B$28:$B$67,"Deferred Maintenance",'Narrative &amp; Measures'!$T$28:$T$67,"&gt;="&amp;(G$321-Alternatives!$I$16)),0)-IF(F$321&gt;=Alternatives!$I$15,SUMIFS('Narrative &amp; Measures'!$J$28:$J$67,'Narrative &amp; Measures'!$B$28:$B$67,"Immediate Repairs: Life Safety &amp; Critical",'Narrative &amp; Measures'!$T$28:$T$67,"&gt;="&amp;(G$321-Alternatives!$I$16)),0)-IF(F$321&gt;=Alternatives!$I$20,'Equipment Inventory'!$BR$11,0)-IF(F$321&gt;=Alternatives!$I$21,'Equipment Inventory'!$BR$12,0)-IF(F$321&gt;=Alternatives!$I$22,'Equipment Inventory'!$BR$13,0)-IF(F$321&gt;=Alternatives!$I$23,'Equipment Inventory'!$BR$14,0)</f>
        <v>89180000</v>
      </c>
      <c r="G338" s="375">
        <f ca="1">$B$338-IF(G$321&gt;=Alternatives!$I$16,SUMIFS('Narrative &amp; Measures'!$J$28:$J$67,'Narrative &amp; Measures'!$B$28:$B$67,"Deferred Maintenance",'Narrative &amp; Measures'!$T$28:$T$67,"&gt;="&amp;(H$321-Alternatives!$I$16)),0)-IF(G$321&gt;=Alternatives!$I$15,SUMIFS('Narrative &amp; Measures'!$J$28:$J$67,'Narrative &amp; Measures'!$B$28:$B$67,"Immediate Repairs: Life Safety &amp; Critical",'Narrative &amp; Measures'!$T$28:$T$67,"&gt;="&amp;(H$321-Alternatives!$I$16)),0)-IF(G$321&gt;=Alternatives!$I$20,'Equipment Inventory'!$BR$11,0)-IF(G$321&gt;=Alternatives!$I$21,'Equipment Inventory'!$BR$12,0)-IF(G$321&gt;=Alternatives!$I$22,'Equipment Inventory'!$BR$13,0)-IF(G$321&gt;=Alternatives!$I$23,'Equipment Inventory'!$BR$14,0)</f>
        <v>89180000</v>
      </c>
      <c r="H338" s="375">
        <f ca="1">$B$338-IF(H$321&gt;=Alternatives!$I$16,SUMIFS('Narrative &amp; Measures'!$J$28:$J$67,'Narrative &amp; Measures'!$B$28:$B$67,"Deferred Maintenance",'Narrative &amp; Measures'!$T$28:$T$67,"&gt;="&amp;(I$321-Alternatives!$I$16)),0)-IF(H$321&gt;=Alternatives!$I$15,SUMIFS('Narrative &amp; Measures'!$J$28:$J$67,'Narrative &amp; Measures'!$B$28:$B$67,"Immediate Repairs: Life Safety &amp; Critical",'Narrative &amp; Measures'!$T$28:$T$67,"&gt;="&amp;(I$321-Alternatives!$I$16)),0)-IF(H$321&gt;=Alternatives!$I$20,'Equipment Inventory'!$BR$11,0)-IF(H$321&gt;=Alternatives!$I$21,'Equipment Inventory'!$BR$12,0)-IF(H$321&gt;=Alternatives!$I$22,'Equipment Inventory'!$BR$13,0)-IF(H$321&gt;=Alternatives!$I$23,'Equipment Inventory'!$BR$14,0)</f>
        <v>89180000</v>
      </c>
      <c r="I338" s="375">
        <f ca="1">$B$338-IF(I$321&gt;=Alternatives!$I$16,SUMIFS('Narrative &amp; Measures'!$J$28:$J$67,'Narrative &amp; Measures'!$B$28:$B$67,"Deferred Maintenance",'Narrative &amp; Measures'!$T$28:$T$67,"&gt;="&amp;(J$321-Alternatives!$I$16)),0)-IF(I$321&gt;=Alternatives!$I$15,SUMIFS('Narrative &amp; Measures'!$J$28:$J$67,'Narrative &amp; Measures'!$B$28:$B$67,"Immediate Repairs: Life Safety &amp; Critical",'Narrative &amp; Measures'!$T$28:$T$67,"&gt;="&amp;(J$321-Alternatives!$I$16)),0)-IF(I$321&gt;=Alternatives!$I$20,'Equipment Inventory'!$BR$11,0)-IF(I$321&gt;=Alternatives!$I$21,'Equipment Inventory'!$BR$12,0)-IF(I$321&gt;=Alternatives!$I$22,'Equipment Inventory'!$BR$13,0)-IF(I$321&gt;=Alternatives!$I$23,'Equipment Inventory'!$BR$14,0)</f>
        <v>89180000</v>
      </c>
      <c r="J338" s="375">
        <f ca="1">$B$338-IF(J$321&gt;=Alternatives!$I$16,SUMIFS('Narrative &amp; Measures'!$J$28:$J$67,'Narrative &amp; Measures'!$B$28:$B$67,"Deferred Maintenance",'Narrative &amp; Measures'!$T$28:$T$67,"&gt;="&amp;(K$321-Alternatives!$I$16)),0)-IF(J$321&gt;=Alternatives!$I$15,SUMIFS('Narrative &amp; Measures'!$J$28:$J$67,'Narrative &amp; Measures'!$B$28:$B$67,"Immediate Repairs: Life Safety &amp; Critical",'Narrative &amp; Measures'!$T$28:$T$67,"&gt;="&amp;(K$321-Alternatives!$I$16)),0)-IF(J$321&gt;=Alternatives!$I$20,'Equipment Inventory'!$BR$11,0)-IF(J$321&gt;=Alternatives!$I$21,'Equipment Inventory'!$BR$12,0)-IF(J$321&gt;=Alternatives!$I$22,'Equipment Inventory'!$BR$13,0)-IF(J$321&gt;=Alternatives!$I$23,'Equipment Inventory'!$BR$14,0)</f>
        <v>89180000</v>
      </c>
      <c r="K338" s="375">
        <f ca="1">$B$338-IF(K$321&gt;=Alternatives!$I$16,SUMIFS('Narrative &amp; Measures'!$J$28:$J$67,'Narrative &amp; Measures'!$B$28:$B$67,"Deferred Maintenance",'Narrative &amp; Measures'!$T$28:$T$67,"&gt;="&amp;(L$321-Alternatives!$I$16)),0)-IF(K$321&gt;=Alternatives!$I$15,SUMIFS('Narrative &amp; Measures'!$J$28:$J$67,'Narrative &amp; Measures'!$B$28:$B$67,"Immediate Repairs: Life Safety &amp; Critical",'Narrative &amp; Measures'!$T$28:$T$67,"&gt;="&amp;(L$321-Alternatives!$I$16)),0)-IF(K$321&gt;=Alternatives!$I$20,'Equipment Inventory'!$BR$11,0)-IF(K$321&gt;=Alternatives!$I$21,'Equipment Inventory'!$BR$12,0)-IF(K$321&gt;=Alternatives!$I$22,'Equipment Inventory'!$BR$13,0)-IF(K$321&gt;=Alternatives!$I$23,'Equipment Inventory'!$BR$14,0)</f>
        <v>89180000</v>
      </c>
      <c r="L338" s="375">
        <f ca="1">$B$338-IF(L$321&gt;=Alternatives!$I$16,SUMIFS('Narrative &amp; Measures'!$J$28:$J$67,'Narrative &amp; Measures'!$B$28:$B$67,"Deferred Maintenance",'Narrative &amp; Measures'!$T$28:$T$67,"&gt;="&amp;(M$321-Alternatives!$I$16)),0)-IF(L$321&gt;=Alternatives!$I$15,SUMIFS('Narrative &amp; Measures'!$J$28:$J$67,'Narrative &amp; Measures'!$B$28:$B$67,"Immediate Repairs: Life Safety &amp; Critical",'Narrative &amp; Measures'!$T$28:$T$67,"&gt;="&amp;(M$321-Alternatives!$I$16)),0)-IF(L$321&gt;=Alternatives!$I$20,'Equipment Inventory'!$BR$11,0)-IF(L$321&gt;=Alternatives!$I$21,'Equipment Inventory'!$BR$12,0)-IF(L$321&gt;=Alternatives!$I$22,'Equipment Inventory'!$BR$13,0)-IF(L$321&gt;=Alternatives!$I$23,'Equipment Inventory'!$BR$14,0)</f>
        <v>89180000</v>
      </c>
      <c r="M338" s="375">
        <f ca="1">$B$338-IF(M$321&gt;=Alternatives!$I$16,SUMIFS('Narrative &amp; Measures'!$J$28:$J$67,'Narrative &amp; Measures'!$B$28:$B$67,"Deferred Maintenance",'Narrative &amp; Measures'!$T$28:$T$67,"&gt;="&amp;(N$321-Alternatives!$I$16)),0)-IF(M$321&gt;=Alternatives!$I$15,SUMIFS('Narrative &amp; Measures'!$J$28:$J$67,'Narrative &amp; Measures'!$B$28:$B$67,"Immediate Repairs: Life Safety &amp; Critical",'Narrative &amp; Measures'!$T$28:$T$67,"&gt;="&amp;(N$321-Alternatives!$I$16)),0)-IF(M$321&gt;=Alternatives!$I$20,'Equipment Inventory'!$BR$11,0)-IF(M$321&gt;=Alternatives!$I$21,'Equipment Inventory'!$BR$12,0)-IF(M$321&gt;=Alternatives!$I$22,'Equipment Inventory'!$BR$13,0)-IF(M$321&gt;=Alternatives!$I$23,'Equipment Inventory'!$BR$14,0)</f>
        <v>89180000</v>
      </c>
      <c r="N338" s="375">
        <f ca="1">$B$338-IF(N$321&gt;=Alternatives!$I$16,SUMIFS('Narrative &amp; Measures'!$J$28:$J$67,'Narrative &amp; Measures'!$B$28:$B$67,"Deferred Maintenance",'Narrative &amp; Measures'!$T$28:$T$67,"&gt;="&amp;(O$321-Alternatives!$I$16)),0)-IF(N$321&gt;=Alternatives!$I$15,SUMIFS('Narrative &amp; Measures'!$J$28:$J$67,'Narrative &amp; Measures'!$B$28:$B$67,"Immediate Repairs: Life Safety &amp; Critical",'Narrative &amp; Measures'!$T$28:$T$67,"&gt;="&amp;(O$321-Alternatives!$I$16)),0)-IF(N$321&gt;=Alternatives!$I$20,'Equipment Inventory'!$BR$11,0)-IF(N$321&gt;=Alternatives!$I$21,'Equipment Inventory'!$BR$12,0)-IF(N$321&gt;=Alternatives!$I$22,'Equipment Inventory'!$BR$13,0)-IF(N$321&gt;=Alternatives!$I$23,'Equipment Inventory'!$BR$14,0)</f>
        <v>89180000</v>
      </c>
      <c r="O338" s="375">
        <f ca="1">$B$338-IF(O$321&gt;=Alternatives!$I$16,SUMIFS('Narrative &amp; Measures'!$J$28:$J$67,'Narrative &amp; Measures'!$B$28:$B$67,"Deferred Maintenance",'Narrative &amp; Measures'!$T$28:$T$67,"&gt;="&amp;(P$321-Alternatives!$I$16)),0)-IF(O$321&gt;=Alternatives!$I$15,SUMIFS('Narrative &amp; Measures'!$J$28:$J$67,'Narrative &amp; Measures'!$B$28:$B$67,"Immediate Repairs: Life Safety &amp; Critical",'Narrative &amp; Measures'!$T$28:$T$67,"&gt;="&amp;(P$321-Alternatives!$I$16)),0)-IF(O$321&gt;=Alternatives!$I$20,'Equipment Inventory'!$BR$11,0)-IF(O$321&gt;=Alternatives!$I$21,'Equipment Inventory'!$BR$12,0)-IF(O$321&gt;=Alternatives!$I$22,'Equipment Inventory'!$BR$13,0)-IF(O$321&gt;=Alternatives!$I$23,'Equipment Inventory'!$BR$14,0)</f>
        <v>89180000</v>
      </c>
      <c r="P338" s="375">
        <f ca="1">$B$338-IF(P$321&gt;=Alternatives!$I$16,SUMIFS('Narrative &amp; Measures'!$J$28:$J$67,'Narrative &amp; Measures'!$B$28:$B$67,"Deferred Maintenance",'Narrative &amp; Measures'!$T$28:$T$67,"&gt;="&amp;(Q$321-Alternatives!$I$16)),0)-IF(P$321&gt;=Alternatives!$I$15,SUMIFS('Narrative &amp; Measures'!$J$28:$J$67,'Narrative &amp; Measures'!$B$28:$B$67,"Immediate Repairs: Life Safety &amp; Critical",'Narrative &amp; Measures'!$T$28:$T$67,"&gt;="&amp;(Q$321-Alternatives!$I$16)),0)-IF(P$321&gt;=Alternatives!$I$20,'Equipment Inventory'!$BR$11,0)-IF(P$321&gt;=Alternatives!$I$21,'Equipment Inventory'!$BR$12,0)-IF(P$321&gt;=Alternatives!$I$22,'Equipment Inventory'!$BR$13,0)-IF(P$321&gt;=Alternatives!$I$23,'Equipment Inventory'!$BR$14,0)</f>
        <v>89180000</v>
      </c>
      <c r="Q338" s="375">
        <f ca="1">$B$338-IF(Q$321&gt;=Alternatives!$I$16,SUMIFS('Narrative &amp; Measures'!$J$28:$J$67,'Narrative &amp; Measures'!$B$28:$B$67,"Deferred Maintenance",'Narrative &amp; Measures'!$T$28:$T$67,"&gt;="&amp;(R$321-Alternatives!$I$16)),0)-IF(Q$321&gt;=Alternatives!$I$15,SUMIFS('Narrative &amp; Measures'!$J$28:$J$67,'Narrative &amp; Measures'!$B$28:$B$67,"Immediate Repairs: Life Safety &amp; Critical",'Narrative &amp; Measures'!$T$28:$T$67,"&gt;="&amp;(R$321-Alternatives!$I$16)),0)-IF(Q$321&gt;=Alternatives!$I$20,'Equipment Inventory'!$BR$11,0)-IF(Q$321&gt;=Alternatives!$I$21,'Equipment Inventory'!$BR$12,0)-IF(Q$321&gt;=Alternatives!$I$22,'Equipment Inventory'!$BR$13,0)-IF(Q$321&gt;=Alternatives!$I$23,'Equipment Inventory'!$BR$14,0)</f>
        <v>89180000</v>
      </c>
      <c r="R338" s="375">
        <f ca="1">$B$338-IF(R$321&gt;=Alternatives!$I$16,SUMIFS('Narrative &amp; Measures'!$J$28:$J$67,'Narrative &amp; Measures'!$B$28:$B$67,"Deferred Maintenance",'Narrative &amp; Measures'!$T$28:$T$67,"&gt;="&amp;(S$321-Alternatives!$I$16)),0)-IF(R$321&gt;=Alternatives!$I$15,SUMIFS('Narrative &amp; Measures'!$J$28:$J$67,'Narrative &amp; Measures'!$B$28:$B$67,"Immediate Repairs: Life Safety &amp; Critical",'Narrative &amp; Measures'!$T$28:$T$67,"&gt;="&amp;(S$321-Alternatives!$I$16)),0)-IF(R$321&gt;=Alternatives!$I$20,'Equipment Inventory'!$BR$11,0)-IF(R$321&gt;=Alternatives!$I$21,'Equipment Inventory'!$BR$12,0)-IF(R$321&gt;=Alternatives!$I$22,'Equipment Inventory'!$BR$13,0)-IF(R$321&gt;=Alternatives!$I$23,'Equipment Inventory'!$BR$14,0)</f>
        <v>89180000</v>
      </c>
      <c r="S338" s="375">
        <f ca="1">$B$338-IF(S$321&gt;=Alternatives!$I$16,SUMIFS('Narrative &amp; Measures'!$J$28:$J$67,'Narrative &amp; Measures'!$B$28:$B$67,"Deferred Maintenance",'Narrative &amp; Measures'!$T$28:$T$67,"&gt;="&amp;(T$321-Alternatives!$I$16)),0)-IF(S$321&gt;=Alternatives!$I$15,SUMIFS('Narrative &amp; Measures'!$J$28:$J$67,'Narrative &amp; Measures'!$B$28:$B$67,"Immediate Repairs: Life Safety &amp; Critical",'Narrative &amp; Measures'!$T$28:$T$67,"&gt;="&amp;(T$321-Alternatives!$I$16)),0)-IF(S$321&gt;=Alternatives!$I$20,'Equipment Inventory'!$BR$11,0)-IF(S$321&gt;=Alternatives!$I$21,'Equipment Inventory'!$BR$12,0)-IF(S$321&gt;=Alternatives!$I$22,'Equipment Inventory'!$BR$13,0)-IF(S$321&gt;=Alternatives!$I$23,'Equipment Inventory'!$BR$14,0)</f>
        <v>89180000</v>
      </c>
      <c r="T338" s="375">
        <f ca="1">$B$338-IF(T$321&gt;=Alternatives!$I$16,SUMIFS('Narrative &amp; Measures'!$J$28:$J$67,'Narrative &amp; Measures'!$B$28:$B$67,"Deferred Maintenance",'Narrative &amp; Measures'!$T$28:$T$67,"&gt;="&amp;(U$321-Alternatives!$I$16)),0)-IF(T$321&gt;=Alternatives!$I$15,SUMIFS('Narrative &amp; Measures'!$J$28:$J$67,'Narrative &amp; Measures'!$B$28:$B$67,"Immediate Repairs: Life Safety &amp; Critical",'Narrative &amp; Measures'!$T$28:$T$67,"&gt;="&amp;(U$321-Alternatives!$I$16)),0)-IF(T$321&gt;=Alternatives!$I$20,'Equipment Inventory'!$BR$11,0)-IF(T$321&gt;=Alternatives!$I$21,'Equipment Inventory'!$BR$12,0)-IF(T$321&gt;=Alternatives!$I$22,'Equipment Inventory'!$BR$13,0)-IF(T$321&gt;=Alternatives!$I$23,'Equipment Inventory'!$BR$14,0)</f>
        <v>89180000</v>
      </c>
      <c r="U338" s="375">
        <f ca="1">$B$338-IF(U$321&gt;=Alternatives!$I$16,SUMIFS('Narrative &amp; Measures'!$J$28:$J$67,'Narrative &amp; Measures'!$B$28:$B$67,"Deferred Maintenance",'Narrative &amp; Measures'!$T$28:$T$67,"&gt;="&amp;(V$321-Alternatives!$I$16)),0)-IF(U$321&gt;=Alternatives!$I$15,SUMIFS('Narrative &amp; Measures'!$J$28:$J$67,'Narrative &amp; Measures'!$B$28:$B$67,"Immediate Repairs: Life Safety &amp; Critical",'Narrative &amp; Measures'!$T$28:$T$67,"&gt;="&amp;(V$321-Alternatives!$I$16)),0)-IF(U$321&gt;=Alternatives!$I$20,'Equipment Inventory'!$BR$11,0)-IF(U$321&gt;=Alternatives!$I$21,'Equipment Inventory'!$BR$12,0)-IF(U$321&gt;=Alternatives!$I$22,'Equipment Inventory'!$BR$13,0)-IF(U$321&gt;=Alternatives!$I$23,'Equipment Inventory'!$BR$14,0)</f>
        <v>89180000</v>
      </c>
      <c r="V338" s="375">
        <f ca="1">$B$338-IF(V$321&gt;=Alternatives!$I$16,SUMIFS('Narrative &amp; Measures'!$J$28:$J$67,'Narrative &amp; Measures'!$B$28:$B$67,"Deferred Maintenance",'Narrative &amp; Measures'!$T$28:$T$67,"&gt;="&amp;(W$321-Alternatives!$I$16)),0)-IF(V$321&gt;=Alternatives!$I$15,SUMIFS('Narrative &amp; Measures'!$J$28:$J$67,'Narrative &amp; Measures'!$B$28:$B$67,"Immediate Repairs: Life Safety &amp; Critical",'Narrative &amp; Measures'!$T$28:$T$67,"&gt;="&amp;(W$321-Alternatives!$I$16)),0)-IF(V$321&gt;=Alternatives!$I$20,'Equipment Inventory'!$BR$11,0)-IF(V$321&gt;=Alternatives!$I$21,'Equipment Inventory'!$BR$12,0)-IF(V$321&gt;=Alternatives!$I$22,'Equipment Inventory'!$BR$13,0)-IF(V$321&gt;=Alternatives!$I$23,'Equipment Inventory'!$BR$14,0)</f>
        <v>89180000</v>
      </c>
    </row>
    <row r="339" spans="1:22" s="375" customFormat="1">
      <c r="A339" s="375" t="str">
        <f t="shared" ref="A339:A343" si="203">A331</f>
        <v>Baseline - Reactive Fines</v>
      </c>
      <c r="B339" s="375">
        <f>'Building Info &amp; Assumptions'!$B$349</f>
        <v>91000000</v>
      </c>
      <c r="C339" s="375">
        <f>C338</f>
        <v>91000000</v>
      </c>
      <c r="D339" s="375">
        <f t="shared" ref="D339:V340" ca="1" si="204">D338</f>
        <v>89180000</v>
      </c>
      <c r="E339" s="375">
        <f t="shared" ca="1" si="204"/>
        <v>89180000</v>
      </c>
      <c r="F339" s="375">
        <f t="shared" ca="1" si="204"/>
        <v>89180000</v>
      </c>
      <c r="G339" s="375">
        <f t="shared" ca="1" si="204"/>
        <v>89180000</v>
      </c>
      <c r="H339" s="375">
        <f t="shared" ca="1" si="204"/>
        <v>89180000</v>
      </c>
      <c r="I339" s="375">
        <f t="shared" ca="1" si="204"/>
        <v>89180000</v>
      </c>
      <c r="J339" s="375">
        <f t="shared" ca="1" si="204"/>
        <v>89180000</v>
      </c>
      <c r="K339" s="375">
        <f t="shared" ca="1" si="204"/>
        <v>89180000</v>
      </c>
      <c r="L339" s="375">
        <f t="shared" ca="1" si="204"/>
        <v>89180000</v>
      </c>
      <c r="M339" s="375">
        <f t="shared" ca="1" si="204"/>
        <v>89180000</v>
      </c>
      <c r="N339" s="375">
        <f t="shared" ca="1" si="204"/>
        <v>89180000</v>
      </c>
      <c r="O339" s="375">
        <f t="shared" ca="1" si="204"/>
        <v>89180000</v>
      </c>
      <c r="P339" s="375">
        <f t="shared" ca="1" si="204"/>
        <v>89180000</v>
      </c>
      <c r="Q339" s="375">
        <f t="shared" ca="1" si="204"/>
        <v>89180000</v>
      </c>
      <c r="R339" s="375">
        <f t="shared" ca="1" si="204"/>
        <v>89180000</v>
      </c>
      <c r="S339" s="375">
        <f t="shared" ca="1" si="204"/>
        <v>89180000</v>
      </c>
      <c r="T339" s="375">
        <f t="shared" ca="1" si="204"/>
        <v>89180000</v>
      </c>
      <c r="U339" s="375">
        <f t="shared" ca="1" si="204"/>
        <v>89180000</v>
      </c>
      <c r="V339" s="375">
        <f t="shared" ca="1" si="204"/>
        <v>89180000</v>
      </c>
    </row>
    <row r="340" spans="1:22" s="375" customFormat="1">
      <c r="A340" s="375" t="str">
        <f t="shared" si="203"/>
        <v>Baseline - Offset Based Compliance</v>
      </c>
      <c r="B340" s="375">
        <f>'Building Info &amp; Assumptions'!$B$349</f>
        <v>91000000</v>
      </c>
      <c r="C340" s="375">
        <f>C339</f>
        <v>91000000</v>
      </c>
      <c r="D340" s="375">
        <f t="shared" ca="1" si="204"/>
        <v>89180000</v>
      </c>
      <c r="E340" s="375">
        <f t="shared" ca="1" si="204"/>
        <v>89180000</v>
      </c>
      <c r="F340" s="375">
        <f t="shared" ca="1" si="204"/>
        <v>89180000</v>
      </c>
      <c r="G340" s="375">
        <f t="shared" ca="1" si="204"/>
        <v>89180000</v>
      </c>
      <c r="H340" s="375">
        <f t="shared" ca="1" si="204"/>
        <v>89180000</v>
      </c>
      <c r="I340" s="375">
        <f t="shared" ca="1" si="204"/>
        <v>89180000</v>
      </c>
      <c r="J340" s="375">
        <f t="shared" ca="1" si="204"/>
        <v>89180000</v>
      </c>
      <c r="K340" s="375">
        <f t="shared" ca="1" si="204"/>
        <v>89180000</v>
      </c>
      <c r="L340" s="375">
        <f t="shared" ca="1" si="204"/>
        <v>89180000</v>
      </c>
      <c r="M340" s="375">
        <f t="shared" ca="1" si="204"/>
        <v>89180000</v>
      </c>
      <c r="N340" s="375">
        <f t="shared" ca="1" si="204"/>
        <v>89180000</v>
      </c>
      <c r="O340" s="375">
        <f t="shared" ca="1" si="204"/>
        <v>89180000</v>
      </c>
      <c r="P340" s="375">
        <f t="shared" ca="1" si="204"/>
        <v>89180000</v>
      </c>
      <c r="Q340" s="375">
        <f t="shared" ca="1" si="204"/>
        <v>89180000</v>
      </c>
      <c r="R340" s="375">
        <f t="shared" ca="1" si="204"/>
        <v>89180000</v>
      </c>
      <c r="S340" s="375">
        <f t="shared" ca="1" si="204"/>
        <v>89180000</v>
      </c>
      <c r="T340" s="375">
        <f t="shared" ca="1" si="204"/>
        <v>89180000</v>
      </c>
      <c r="U340" s="375">
        <f t="shared" ca="1" si="204"/>
        <v>89180000</v>
      </c>
      <c r="V340" s="375">
        <f t="shared" ca="1" si="204"/>
        <v>89180000</v>
      </c>
    </row>
    <row r="341" spans="1:22" s="375" customFormat="1">
      <c r="A341" s="375" t="str">
        <f t="shared" si="203"/>
        <v>Alternative 1</v>
      </c>
      <c r="B341" s="375">
        <f>'Building Info &amp; Assumptions'!$B$349</f>
        <v>91000000</v>
      </c>
      <c r="C341" s="375" cm="1">
        <f t="array" ref="C341">MAX(0,$B341-SUM(SUMIFS('Narrative &amp; Measures'!$J$28:$J$67,'Narrative &amp; Measures'!$A$28:$A$67,Alternatives!$C$38:$C$57,'Narrative &amp; Measures'!$BV$28:$BV$67,"&lt;="&amp;C$321,'Narrative &amp; Measures'!$CD$28:$CD$67,"&gt;="&amp;D$321)))</f>
        <v>89500000</v>
      </c>
      <c r="D341" s="375" cm="1">
        <f t="array" ref="D341">MAX(0,$B341-SUM(SUMIFS('Narrative &amp; Measures'!$J$28:$J$67,'Narrative &amp; Measures'!$A$28:$A$67,Alternatives!$C$38:$C$57,'Narrative &amp; Measures'!$BV$28:$BV$67,"&lt;="&amp;D$321,'Narrative &amp; Measures'!$CD$28:$CD$67,"&gt;="&amp;E$321)))</f>
        <v>84500000</v>
      </c>
      <c r="E341" s="375" cm="1">
        <f t="array" ref="E341">MAX(0,$B341-SUM(SUMIFS('Narrative &amp; Measures'!$J$28:$J$67,'Narrative &amp; Measures'!$A$28:$A$67,Alternatives!$C$38:$C$57,'Narrative &amp; Measures'!$BV$28:$BV$67,"&lt;="&amp;E$321,'Narrative &amp; Measures'!$CD$28:$CD$67,"&gt;="&amp;F$321)))</f>
        <v>81500000</v>
      </c>
      <c r="F341" s="375" cm="1">
        <f t="array" ref="F341">MAX(0,$B341-SUM(SUMIFS('Narrative &amp; Measures'!$J$28:$J$67,'Narrative &amp; Measures'!$A$28:$A$67,Alternatives!$C$38:$C$57,'Narrative &amp; Measures'!$BV$28:$BV$67,"&lt;="&amp;F$321,'Narrative &amp; Measures'!$CD$28:$CD$67,"&gt;="&amp;G$321)))</f>
        <v>81500000</v>
      </c>
      <c r="G341" s="375" cm="1">
        <f t="array" ref="G341">MAX(0,$B341-SUM(SUMIFS('Narrative &amp; Measures'!$J$28:$J$67,'Narrative &amp; Measures'!$A$28:$A$67,Alternatives!$C$38:$C$57,'Narrative &amp; Measures'!$BV$28:$BV$67,"&lt;="&amp;G$321,'Narrative &amp; Measures'!$CD$28:$CD$67,"&gt;="&amp;H$321)))</f>
        <v>76500000</v>
      </c>
      <c r="H341" s="375" cm="1">
        <f t="array" ref="H341">MAX(0,$B341-SUM(SUMIFS('Narrative &amp; Measures'!$J$28:$J$67,'Narrative &amp; Measures'!$A$28:$A$67,Alternatives!$C$38:$C$57,'Narrative &amp; Measures'!$BV$28:$BV$67,"&lt;="&amp;H$321,'Narrative &amp; Measures'!$CD$28:$CD$67,"&gt;="&amp;I$321)))</f>
        <v>76500000</v>
      </c>
      <c r="I341" s="375" cm="1">
        <f t="array" ref="I341">MAX(0,$B341-SUM(SUMIFS('Narrative &amp; Measures'!$J$28:$J$67,'Narrative &amp; Measures'!$A$28:$A$67,Alternatives!$C$38:$C$57,'Narrative &amp; Measures'!$BV$28:$BV$67,"&lt;="&amp;I$321,'Narrative &amp; Measures'!$CD$28:$CD$67,"&gt;="&amp;J$321)))</f>
        <v>76500000</v>
      </c>
      <c r="J341" s="375" cm="1">
        <f t="array" ref="J341">MAX(0,$B341-SUM(SUMIFS('Narrative &amp; Measures'!$J$28:$J$67,'Narrative &amp; Measures'!$A$28:$A$67,Alternatives!$C$38:$C$57,'Narrative &amp; Measures'!$BV$28:$BV$67,"&lt;="&amp;J$321,'Narrative &amp; Measures'!$CD$28:$CD$67,"&gt;="&amp;K$321)))</f>
        <v>26500000</v>
      </c>
      <c r="K341" s="375" cm="1">
        <f t="array" ref="K341">MAX(0,$B341-SUM(SUMIFS('Narrative &amp; Measures'!$J$28:$J$67,'Narrative &amp; Measures'!$A$28:$A$67,Alternatives!$C$38:$C$57,'Narrative &amp; Measures'!$BV$28:$BV$67,"&lt;="&amp;K$321,'Narrative &amp; Measures'!$CD$28:$CD$67,"&gt;="&amp;L$321)))</f>
        <v>26500000</v>
      </c>
      <c r="L341" s="375" cm="1">
        <f t="array" ref="L341">MAX(0,$B341-SUM(SUMIFS('Narrative &amp; Measures'!$J$28:$J$67,'Narrative &amp; Measures'!$A$28:$A$67,Alternatives!$C$38:$C$57,'Narrative &amp; Measures'!$BV$28:$BV$67,"&lt;="&amp;L$321,'Narrative &amp; Measures'!$CD$28:$CD$67,"&gt;="&amp;M$321)))</f>
        <v>26500000</v>
      </c>
      <c r="M341" s="375" cm="1">
        <f t="array" ref="M341">MAX(0,$B341-SUM(SUMIFS('Narrative &amp; Measures'!$J$28:$J$67,'Narrative &amp; Measures'!$A$28:$A$67,Alternatives!$C$38:$C$57,'Narrative &amp; Measures'!$BV$28:$BV$67,"&lt;="&amp;M$321,'Narrative &amp; Measures'!$CD$28:$CD$67,"&gt;="&amp;N$321)))</f>
        <v>27500000</v>
      </c>
      <c r="N341" s="375" cm="1">
        <f t="array" ref="N341">MAX(0,$B341-SUM(SUMIFS('Narrative &amp; Measures'!$J$28:$J$67,'Narrative &amp; Measures'!$A$28:$A$67,Alternatives!$C$38:$C$57,'Narrative &amp; Measures'!$BV$28:$BV$67,"&lt;="&amp;N$321,'Narrative &amp; Measures'!$CD$28:$CD$67,"&gt;="&amp;O$321)))</f>
        <v>27500000</v>
      </c>
      <c r="O341" s="375" cm="1">
        <f t="array" ref="O341">MAX(0,$B341-SUM(SUMIFS('Narrative &amp; Measures'!$J$28:$J$67,'Narrative &amp; Measures'!$A$28:$A$67,Alternatives!$C$38:$C$57,'Narrative &amp; Measures'!$BV$28:$BV$67,"&lt;="&amp;O$321,'Narrative &amp; Measures'!$CD$28:$CD$67,"&gt;="&amp;P$321)))</f>
        <v>27500000</v>
      </c>
      <c r="P341" s="375" cm="1">
        <f t="array" ref="P341">MAX(0,$B341-SUM(SUMIFS('Narrative &amp; Measures'!$J$28:$J$67,'Narrative &amp; Measures'!$A$28:$A$67,Alternatives!$C$38:$C$57,'Narrative &amp; Measures'!$BV$28:$BV$67,"&lt;="&amp;P$321,'Narrative &amp; Measures'!$CD$28:$CD$67,"&gt;="&amp;Q$321)))</f>
        <v>27500000</v>
      </c>
      <c r="Q341" s="375" cm="1">
        <f t="array" ref="Q341">MAX(0,$B341-SUM(SUMIFS('Narrative &amp; Measures'!$J$28:$J$67,'Narrative &amp; Measures'!$A$28:$A$67,Alternatives!$C$38:$C$57,'Narrative &amp; Measures'!$BV$28:$BV$67,"&lt;="&amp;Q$321,'Narrative &amp; Measures'!$CD$28:$CD$67,"&gt;="&amp;R$321)))</f>
        <v>27500000</v>
      </c>
      <c r="R341" s="375" cm="1">
        <f t="array" ref="R341">MAX(0,$B341-SUM(SUMIFS('Narrative &amp; Measures'!$J$28:$J$67,'Narrative &amp; Measures'!$A$28:$A$67,Alternatives!$C$38:$C$57,'Narrative &amp; Measures'!$BV$28:$BV$67,"&lt;="&amp;R$321,'Narrative &amp; Measures'!$CD$28:$CD$67,"&gt;="&amp;S$321)))</f>
        <v>28000000</v>
      </c>
      <c r="S341" s="375" cm="1">
        <f t="array" ref="S341">MAX(0,$B341-SUM(SUMIFS('Narrative &amp; Measures'!$J$28:$J$67,'Narrative &amp; Measures'!$A$28:$A$67,Alternatives!$C$38:$C$57,'Narrative &amp; Measures'!$BV$28:$BV$67,"&lt;="&amp;S$321,'Narrative &amp; Measures'!$CD$28:$CD$67,"&gt;="&amp;T$321)))</f>
        <v>33000000</v>
      </c>
      <c r="T341" s="375" cm="1">
        <f t="array" ref="T341">MAX(0,$B341-SUM(SUMIFS('Narrative &amp; Measures'!$J$28:$J$67,'Narrative &amp; Measures'!$A$28:$A$67,Alternatives!$C$38:$C$57,'Narrative &amp; Measures'!$BV$28:$BV$67,"&lt;="&amp;T$321,'Narrative &amp; Measures'!$CD$28:$CD$67,"&gt;="&amp;U$321)))</f>
        <v>33000000</v>
      </c>
      <c r="U341" s="375" cm="1">
        <f t="array" ref="U341">MAX(0,$B341-SUM(SUMIFS('Narrative &amp; Measures'!$J$28:$J$67,'Narrative &amp; Measures'!$A$28:$A$67,Alternatives!$C$38:$C$57,'Narrative &amp; Measures'!$BV$28:$BV$67,"&lt;="&amp;U$321,'Narrative &amp; Measures'!$CD$28:$CD$67,"&gt;="&amp;V$321)))</f>
        <v>33000000</v>
      </c>
      <c r="V341" s="375" cm="1">
        <f t="array" ref="V341">MAX(0,$B341-SUM(SUMIFS('Narrative &amp; Measures'!$J$28:$J$67,'Narrative &amp; Measures'!$A$28:$A$67,Alternatives!$C$38:$C$57,'Narrative &amp; Measures'!$BV$28:$BV$67,"&lt;="&amp;V$321,'Narrative &amp; Measures'!$CD$28:$CD$67,"&gt;="&amp;W$321)))</f>
        <v>33000000</v>
      </c>
    </row>
    <row r="342" spans="1:22" s="375" customFormat="1">
      <c r="A342" s="375" t="str">
        <f t="shared" si="203"/>
        <v>Alternative 2</v>
      </c>
      <c r="B342" s="375">
        <f>'Building Info &amp; Assumptions'!$B$349</f>
        <v>91000000</v>
      </c>
      <c r="C342" s="375" cm="1">
        <f t="array" ref="C342">MAX(0,$B342-SUM(SUMIFS('Narrative &amp; Measures'!$J$28:$J$67,'Narrative &amp; Measures'!$A$28:$A$67,Alternatives!$C$63:$C$82,'Narrative &amp; Measures'!$BW$28:$BW$67,"&lt;="&amp;C$321,'Narrative &amp; Measures'!$CE$28:$CE$67,"&gt;="&amp;D$321)))</f>
        <v>89500000</v>
      </c>
      <c r="D342" s="375" cm="1">
        <f t="array" ref="D342">MAX(0,$B342-SUM(SUMIFS('Narrative &amp; Measures'!$J$28:$J$67,'Narrative &amp; Measures'!$A$28:$A$67,Alternatives!$C$63:$C$82,'Narrative &amp; Measures'!$BW$28:$BW$67,"&lt;="&amp;D$321,'Narrative &amp; Measures'!$CE$28:$CE$67,"&gt;="&amp;E$321)))</f>
        <v>84500000</v>
      </c>
      <c r="E342" s="375" cm="1">
        <f t="array" ref="E342">MAX(0,$B342-SUM(SUMIFS('Narrative &amp; Measures'!$J$28:$J$67,'Narrative &amp; Measures'!$A$28:$A$67,Alternatives!$C$63:$C$82,'Narrative &amp; Measures'!$BW$28:$BW$67,"&lt;="&amp;E$321,'Narrative &amp; Measures'!$CE$28:$CE$67,"&gt;="&amp;F$321)))</f>
        <v>84500000</v>
      </c>
      <c r="F342" s="375" cm="1">
        <f t="array" ref="F342">MAX(0,$B342-SUM(SUMIFS('Narrative &amp; Measures'!$J$28:$J$67,'Narrative &amp; Measures'!$A$28:$A$67,Alternatives!$C$63:$C$82,'Narrative &amp; Measures'!$BW$28:$BW$67,"&lt;="&amp;F$321,'Narrative &amp; Measures'!$CE$28:$CE$67,"&gt;="&amp;G$321)))</f>
        <v>81500000</v>
      </c>
      <c r="G342" s="375" cm="1">
        <f t="array" ref="G342">MAX(0,$B342-SUM(SUMIFS('Narrative &amp; Measures'!$J$28:$J$67,'Narrative &amp; Measures'!$A$28:$A$67,Alternatives!$C$63:$C$82,'Narrative &amp; Measures'!$BW$28:$BW$67,"&lt;="&amp;G$321,'Narrative &amp; Measures'!$CE$28:$CE$67,"&gt;="&amp;H$321)))</f>
        <v>81500000</v>
      </c>
      <c r="H342" s="375" cm="1">
        <f t="array" ref="H342">MAX(0,$B342-SUM(SUMIFS('Narrative &amp; Measures'!$J$28:$J$67,'Narrative &amp; Measures'!$A$28:$A$67,Alternatives!$C$63:$C$82,'Narrative &amp; Measures'!$BW$28:$BW$67,"&lt;="&amp;H$321,'Narrative &amp; Measures'!$CE$28:$CE$67,"&gt;="&amp;I$321)))</f>
        <v>81500000</v>
      </c>
      <c r="I342" s="375" cm="1">
        <f t="array" ref="I342">MAX(0,$B342-SUM(SUMIFS('Narrative &amp; Measures'!$J$28:$J$67,'Narrative &amp; Measures'!$A$28:$A$67,Alternatives!$C$63:$C$82,'Narrative &amp; Measures'!$BW$28:$BW$67,"&lt;="&amp;I$321,'Narrative &amp; Measures'!$CE$28:$CE$67,"&gt;="&amp;J$321)))</f>
        <v>81500000</v>
      </c>
      <c r="J342" s="375" cm="1">
        <f t="array" ref="J342">MAX(0,$B342-SUM(SUMIFS('Narrative &amp; Measures'!$J$28:$J$67,'Narrative &amp; Measures'!$A$28:$A$67,Alternatives!$C$63:$C$82,'Narrative &amp; Measures'!$BW$28:$BW$67,"&lt;="&amp;J$321,'Narrative &amp; Measures'!$CE$28:$CE$67,"&gt;="&amp;K$321)))</f>
        <v>31500000</v>
      </c>
      <c r="K342" s="375" cm="1">
        <f t="array" ref="K342">MAX(0,$B342-SUM(SUMIFS('Narrative &amp; Measures'!$J$28:$J$67,'Narrative &amp; Measures'!$A$28:$A$67,Alternatives!$C$63:$C$82,'Narrative &amp; Measures'!$BW$28:$BW$67,"&lt;="&amp;K$321,'Narrative &amp; Measures'!$CE$28:$CE$67,"&gt;="&amp;L$321)))</f>
        <v>31500000</v>
      </c>
      <c r="L342" s="375" cm="1">
        <f t="array" ref="L342">MAX(0,$B342-SUM(SUMIFS('Narrative &amp; Measures'!$J$28:$J$67,'Narrative &amp; Measures'!$A$28:$A$67,Alternatives!$C$63:$C$82,'Narrative &amp; Measures'!$BW$28:$BW$67,"&lt;="&amp;L$321,'Narrative &amp; Measures'!$CE$28:$CE$67,"&gt;="&amp;M$321)))</f>
        <v>31500000</v>
      </c>
      <c r="M342" s="375" cm="1">
        <f t="array" ref="M342">MAX(0,$B342-SUM(SUMIFS('Narrative &amp; Measures'!$J$28:$J$67,'Narrative &amp; Measures'!$A$28:$A$67,Alternatives!$C$63:$C$82,'Narrative &amp; Measures'!$BW$28:$BW$67,"&lt;="&amp;M$321,'Narrative &amp; Measures'!$CE$28:$CE$67,"&gt;="&amp;N$321)))</f>
        <v>32500000</v>
      </c>
      <c r="N342" s="375" cm="1">
        <f t="array" ref="N342">MAX(0,$B342-SUM(SUMIFS('Narrative &amp; Measures'!$J$28:$J$67,'Narrative &amp; Measures'!$A$28:$A$67,Alternatives!$C$63:$C$82,'Narrative &amp; Measures'!$BW$28:$BW$67,"&lt;="&amp;N$321,'Narrative &amp; Measures'!$CE$28:$CE$67,"&gt;="&amp;O$321)))</f>
        <v>32500000</v>
      </c>
      <c r="O342" s="375" cm="1">
        <f t="array" ref="O342">MAX(0,$B342-SUM(SUMIFS('Narrative &amp; Measures'!$J$28:$J$67,'Narrative &amp; Measures'!$A$28:$A$67,Alternatives!$C$63:$C$82,'Narrative &amp; Measures'!$BW$28:$BW$67,"&lt;="&amp;O$321,'Narrative &amp; Measures'!$CE$28:$CE$67,"&gt;="&amp;P$321)))</f>
        <v>32500000</v>
      </c>
      <c r="P342" s="375" cm="1">
        <f t="array" ref="P342">MAX(0,$B342-SUM(SUMIFS('Narrative &amp; Measures'!$J$28:$J$67,'Narrative &amp; Measures'!$A$28:$A$67,Alternatives!$C$63:$C$82,'Narrative &amp; Measures'!$BW$28:$BW$67,"&lt;="&amp;P$321,'Narrative &amp; Measures'!$CE$28:$CE$67,"&gt;="&amp;Q$321)))</f>
        <v>32500000</v>
      </c>
      <c r="Q342" s="375" cm="1">
        <f t="array" ref="Q342">MAX(0,$B342-SUM(SUMIFS('Narrative &amp; Measures'!$J$28:$J$67,'Narrative &amp; Measures'!$A$28:$A$67,Alternatives!$C$63:$C$82,'Narrative &amp; Measures'!$BW$28:$BW$67,"&lt;="&amp;Q$321,'Narrative &amp; Measures'!$CE$28:$CE$67,"&gt;="&amp;R$321)))</f>
        <v>32500000</v>
      </c>
      <c r="R342" s="375" cm="1">
        <f t="array" ref="R342">MAX(0,$B342-SUM(SUMIFS('Narrative &amp; Measures'!$J$28:$J$67,'Narrative &amp; Measures'!$A$28:$A$67,Alternatives!$C$63:$C$82,'Narrative &amp; Measures'!$BW$28:$BW$67,"&lt;="&amp;R$321,'Narrative &amp; Measures'!$CE$28:$CE$67,"&gt;="&amp;S$321)))</f>
        <v>33000000</v>
      </c>
      <c r="S342" s="375" cm="1">
        <f t="array" ref="S342">MAX(0,$B342-SUM(SUMIFS('Narrative &amp; Measures'!$J$28:$J$67,'Narrative &amp; Measures'!$A$28:$A$67,Alternatives!$C$63:$C$82,'Narrative &amp; Measures'!$BW$28:$BW$67,"&lt;="&amp;S$321,'Narrative &amp; Measures'!$CE$28:$CE$67,"&gt;="&amp;T$321)))</f>
        <v>38000000</v>
      </c>
      <c r="T342" s="375" cm="1">
        <f t="array" ref="T342">MAX(0,$B342-SUM(SUMIFS('Narrative &amp; Measures'!$J$28:$J$67,'Narrative &amp; Measures'!$A$28:$A$67,Alternatives!$C$63:$C$82,'Narrative &amp; Measures'!$BW$28:$BW$67,"&lt;="&amp;T$321,'Narrative &amp; Measures'!$CE$28:$CE$67,"&gt;="&amp;U$321)))</f>
        <v>38000000</v>
      </c>
      <c r="U342" s="375" cm="1">
        <f t="array" ref="U342">MAX(0,$B342-SUM(SUMIFS('Narrative &amp; Measures'!$J$28:$J$67,'Narrative &amp; Measures'!$A$28:$A$67,Alternatives!$C$63:$C$82,'Narrative &amp; Measures'!$BW$28:$BW$67,"&lt;="&amp;U$321,'Narrative &amp; Measures'!$CE$28:$CE$67,"&gt;="&amp;V$321)))</f>
        <v>38000000</v>
      </c>
      <c r="V342" s="375" cm="1">
        <f t="array" ref="V342">MAX(0,$B342-SUM(SUMIFS('Narrative &amp; Measures'!$J$28:$J$67,'Narrative &amp; Measures'!$A$28:$A$67,Alternatives!$C$63:$C$82,'Narrative &amp; Measures'!$BW$28:$BW$67,"&lt;="&amp;V$321,'Narrative &amp; Measures'!$CE$28:$CE$67,"&gt;="&amp;W$321)))</f>
        <v>38000000</v>
      </c>
    </row>
    <row r="343" spans="1:22" s="375" customFormat="1">
      <c r="A343" s="375" t="str">
        <f t="shared" si="203"/>
        <v>Alternative 3</v>
      </c>
      <c r="B343" s="375">
        <f>'Building Info &amp; Assumptions'!$B$349</f>
        <v>91000000</v>
      </c>
      <c r="C343" s="375" cm="1">
        <f t="array" ref="C343">MAX(0,$B343-SUM(SUMIFS('Narrative &amp; Measures'!$J$28:$J$67,'Narrative &amp; Measures'!$A$28:$A$67,Alternatives!$C$88:$C$107,'Narrative &amp; Measures'!$BX$28:$BX$67,"&lt;="&amp;C$321,'Narrative &amp; Measures'!$CF$28:$CF$67,"&gt;="&amp;D$321)))</f>
        <v>90500000</v>
      </c>
      <c r="D343" s="375" cm="1">
        <f t="array" ref="D343">MAX(0,$B343-SUM(SUMIFS('Narrative &amp; Measures'!$J$28:$J$67,'Narrative &amp; Measures'!$A$28:$A$67,Alternatives!$C$88:$C$107,'Narrative &amp; Measures'!$BX$28:$BX$67,"&lt;="&amp;D$321,'Narrative &amp; Measures'!$CF$28:$CF$67,"&gt;="&amp;E$321)))</f>
        <v>85500000</v>
      </c>
      <c r="E343" s="375" cm="1">
        <f t="array" ref="E343">MAX(0,$B343-SUM(SUMIFS('Narrative &amp; Measures'!$J$28:$J$67,'Narrative &amp; Measures'!$A$28:$A$67,Alternatives!$C$88:$C$107,'Narrative &amp; Measures'!$BX$28:$BX$67,"&lt;="&amp;E$321,'Narrative &amp; Measures'!$CF$28:$CF$67,"&gt;="&amp;F$321)))</f>
        <v>85500000</v>
      </c>
      <c r="F343" s="375" cm="1">
        <f t="array" ref="F343">MAX(0,$B343-SUM(SUMIFS('Narrative &amp; Measures'!$J$28:$J$67,'Narrative &amp; Measures'!$A$28:$A$67,Alternatives!$C$88:$C$107,'Narrative &amp; Measures'!$BX$28:$BX$67,"&lt;="&amp;F$321,'Narrative &amp; Measures'!$CF$28:$CF$67,"&gt;="&amp;G$321)))</f>
        <v>85500000</v>
      </c>
      <c r="G343" s="375" cm="1">
        <f t="array" ref="G343">MAX(0,$B343-SUM(SUMIFS('Narrative &amp; Measures'!$J$28:$J$67,'Narrative &amp; Measures'!$A$28:$A$67,Alternatives!$C$88:$C$107,'Narrative &amp; Measures'!$BX$28:$BX$67,"&lt;="&amp;G$321,'Narrative &amp; Measures'!$CF$28:$CF$67,"&gt;="&amp;H$321)))</f>
        <v>82500000</v>
      </c>
      <c r="H343" s="375" cm="1">
        <f t="array" ref="H343">MAX(0,$B343-SUM(SUMIFS('Narrative &amp; Measures'!$J$28:$J$67,'Narrative &amp; Measures'!$A$28:$A$67,Alternatives!$C$88:$C$107,'Narrative &amp; Measures'!$BX$28:$BX$67,"&lt;="&amp;H$321,'Narrative &amp; Measures'!$CF$28:$CF$67,"&gt;="&amp;I$321)))</f>
        <v>82500000</v>
      </c>
      <c r="I343" s="375" cm="1">
        <f t="array" ref="I343">MAX(0,$B343-SUM(SUMIFS('Narrative &amp; Measures'!$J$28:$J$67,'Narrative &amp; Measures'!$A$28:$A$67,Alternatives!$C$88:$C$107,'Narrative &amp; Measures'!$BX$28:$BX$67,"&lt;="&amp;I$321,'Narrative &amp; Measures'!$CF$28:$CF$67,"&gt;="&amp;J$321)))</f>
        <v>32500000</v>
      </c>
      <c r="J343" s="375" cm="1">
        <f t="array" ref="J343">MAX(0,$B343-SUM(SUMIFS('Narrative &amp; Measures'!$J$28:$J$67,'Narrative &amp; Measures'!$A$28:$A$67,Alternatives!$C$88:$C$107,'Narrative &amp; Measures'!$BX$28:$BX$67,"&lt;="&amp;J$321,'Narrative &amp; Measures'!$CF$28:$CF$67,"&gt;="&amp;K$321)))</f>
        <v>32500000</v>
      </c>
      <c r="K343" s="375" cm="1">
        <f t="array" ref="K343">MAX(0,$B343-SUM(SUMIFS('Narrative &amp; Measures'!$J$28:$J$67,'Narrative &amp; Measures'!$A$28:$A$67,Alternatives!$C$88:$C$107,'Narrative &amp; Measures'!$BX$28:$BX$67,"&lt;="&amp;K$321,'Narrative &amp; Measures'!$CF$28:$CF$67,"&gt;="&amp;L$321)))</f>
        <v>32500000</v>
      </c>
      <c r="L343" s="375" cm="1">
        <f t="array" ref="L343">MAX(0,$B343-SUM(SUMIFS('Narrative &amp; Measures'!$J$28:$J$67,'Narrative &amp; Measures'!$A$28:$A$67,Alternatives!$C$88:$C$107,'Narrative &amp; Measures'!$BX$28:$BX$67,"&lt;="&amp;L$321,'Narrative &amp; Measures'!$CF$28:$CF$67,"&gt;="&amp;M$321)))</f>
        <v>32500000</v>
      </c>
      <c r="M343" s="375" cm="1">
        <f t="array" ref="M343">MAX(0,$B343-SUM(SUMIFS('Narrative &amp; Measures'!$J$28:$J$67,'Narrative &amp; Measures'!$A$28:$A$67,Alternatives!$C$88:$C$107,'Narrative &amp; Measures'!$BX$28:$BX$67,"&lt;="&amp;M$321,'Narrative &amp; Measures'!$CF$28:$CF$67,"&gt;="&amp;N$321)))</f>
        <v>32500000</v>
      </c>
      <c r="N343" s="375" cm="1">
        <f t="array" ref="N343">MAX(0,$B343-SUM(SUMIFS('Narrative &amp; Measures'!$J$28:$J$67,'Narrative &amp; Measures'!$A$28:$A$67,Alternatives!$C$88:$C$107,'Narrative &amp; Measures'!$BX$28:$BX$67,"&lt;="&amp;N$321,'Narrative &amp; Measures'!$CF$28:$CF$67,"&gt;="&amp;O$321)))</f>
        <v>32500000</v>
      </c>
      <c r="O343" s="375" cm="1">
        <f t="array" ref="O343">MAX(0,$B343-SUM(SUMIFS('Narrative &amp; Measures'!$J$28:$J$67,'Narrative &amp; Measures'!$A$28:$A$67,Alternatives!$C$88:$C$107,'Narrative &amp; Measures'!$BX$28:$BX$67,"&lt;="&amp;O$321,'Narrative &amp; Measures'!$CF$28:$CF$67,"&gt;="&amp;P$321)))</f>
        <v>32500000</v>
      </c>
      <c r="P343" s="375" cm="1">
        <f t="array" ref="P343">MAX(0,$B343-SUM(SUMIFS('Narrative &amp; Measures'!$J$28:$J$67,'Narrative &amp; Measures'!$A$28:$A$67,Alternatives!$C$88:$C$107,'Narrative &amp; Measures'!$BX$28:$BX$67,"&lt;="&amp;P$321,'Narrative &amp; Measures'!$CF$28:$CF$67,"&gt;="&amp;Q$321)))</f>
        <v>32500000</v>
      </c>
      <c r="Q343" s="375" cm="1">
        <f t="array" ref="Q343">MAX(0,$B343-SUM(SUMIFS('Narrative &amp; Measures'!$J$28:$J$67,'Narrative &amp; Measures'!$A$28:$A$67,Alternatives!$C$88:$C$107,'Narrative &amp; Measures'!$BX$28:$BX$67,"&lt;="&amp;Q$321,'Narrative &amp; Measures'!$CF$28:$CF$67,"&gt;="&amp;R$321)))</f>
        <v>32500000</v>
      </c>
      <c r="R343" s="375" cm="1">
        <f t="array" ref="R343">MAX(0,$B343-SUM(SUMIFS('Narrative &amp; Measures'!$J$28:$J$67,'Narrative &amp; Measures'!$A$28:$A$67,Alternatives!$C$88:$C$107,'Narrative &amp; Measures'!$BX$28:$BX$67,"&lt;="&amp;R$321,'Narrative &amp; Measures'!$CF$28:$CF$67,"&gt;="&amp;S$321)))</f>
        <v>33000000</v>
      </c>
      <c r="S343" s="375" cm="1">
        <f t="array" ref="S343">MAX(0,$B343-SUM(SUMIFS('Narrative &amp; Measures'!$J$28:$J$67,'Narrative &amp; Measures'!$A$28:$A$67,Alternatives!$C$88:$C$107,'Narrative &amp; Measures'!$BX$28:$BX$67,"&lt;="&amp;S$321,'Narrative &amp; Measures'!$CF$28:$CF$67,"&gt;="&amp;T$321)))</f>
        <v>38000000</v>
      </c>
      <c r="T343" s="375" cm="1">
        <f t="array" ref="T343">MAX(0,$B343-SUM(SUMIFS('Narrative &amp; Measures'!$J$28:$J$67,'Narrative &amp; Measures'!$A$28:$A$67,Alternatives!$C$88:$C$107,'Narrative &amp; Measures'!$BX$28:$BX$67,"&lt;="&amp;T$321,'Narrative &amp; Measures'!$CF$28:$CF$67,"&gt;="&amp;U$321)))</f>
        <v>38000000</v>
      </c>
      <c r="U343" s="375" cm="1">
        <f t="array" ref="U343">MAX(0,$B343-SUM(SUMIFS('Narrative &amp; Measures'!$J$28:$J$67,'Narrative &amp; Measures'!$A$28:$A$67,Alternatives!$C$88:$C$107,'Narrative &amp; Measures'!$BX$28:$BX$67,"&lt;="&amp;U$321,'Narrative &amp; Measures'!$CF$28:$CF$67,"&gt;="&amp;V$321)))</f>
        <v>38000000</v>
      </c>
      <c r="V343" s="375" cm="1">
        <f t="array" ref="V343">MAX(0,$B343-SUM(SUMIFS('Narrative &amp; Measures'!$J$28:$J$67,'Narrative &amp; Measures'!$A$28:$A$67,Alternatives!$C$88:$C$107,'Narrative &amp; Measures'!$BX$28:$BX$67,"&lt;="&amp;V$321,'Narrative &amp; Measures'!$CF$28:$CF$67,"&gt;="&amp;W$321)))</f>
        <v>38000000</v>
      </c>
    </row>
    <row r="344" spans="1:22" s="375" customFormat="1"/>
    <row r="345" spans="1:22" s="375" customFormat="1">
      <c r="A345" s="375" t="s">
        <v>620</v>
      </c>
    </row>
    <row r="346" spans="1:22" s="375" customFormat="1">
      <c r="A346" s="375" t="str">
        <f>A338</f>
        <v>Baseline Reactive (Cap Op St+IR DM)</v>
      </c>
      <c r="B346" s="375">
        <f>'Building Info &amp; Assumptions'!$B$350*'Building Info &amp; Assumptions'!$D$351</f>
        <v>0</v>
      </c>
      <c r="C346" s="375">
        <f>$B$346-IF(C$321&gt;=Alternatives!$I$16,SUMIFS('Narrative &amp; Measures'!$K$28:$K$67,'Narrative &amp; Measures'!$B$28:$B$67,"Deferred Maintenance",'Narrative &amp; Measures'!$T$28:$T$67,"&gt;="&amp;(D$321-Alternatives!$I$16)),0)-IF(C$321&gt;=Alternatives!$I$15,SUMIFS('Narrative &amp; Measures'!$K$28:$K$67,'Narrative &amp; Measures'!$B$28:$B$67,"Immediate Repairs: Life Safety &amp; Critical",'Narrative &amp; Measures'!$T$28:$T$67,"&gt;="&amp;(D$321-Alternatives!$I$16)),0)-IF(C$321&gt;=Alternatives!$I$20,'Equipment Inventory'!$BS$11,0)-IF(C$321&gt;=Alternatives!$I$21,'Equipment Inventory'!$BS$12,0)-IF(C$321&gt;=Alternatives!$I$22,'Equipment Inventory'!$BS$13,0)-IF(C$321&gt;=Alternatives!$I$23,'Equipment Inventory'!$BS$14,0)</f>
        <v>0</v>
      </c>
      <c r="D346" s="375">
        <f ca="1">$B$346-IF(D$321&gt;=Alternatives!$I$16,SUMIFS('Narrative &amp; Measures'!$K$28:$K$67,'Narrative &amp; Measures'!$B$28:$B$67,"Deferred Maintenance",'Narrative &amp; Measures'!$T$28:$T$67,"&gt;="&amp;(E$321-Alternatives!$I$16)),0)-IF(D$321&gt;=Alternatives!$I$15,SUMIFS('Narrative &amp; Measures'!$K$28:$K$67,'Narrative &amp; Measures'!$B$28:$B$67,"Immediate Repairs: Life Safety &amp; Critical",'Narrative &amp; Measures'!$T$28:$T$67,"&gt;="&amp;(E$321-Alternatives!$I$16)),0)-IF(D$321&gt;=Alternatives!$I$20,'Equipment Inventory'!$BS$11,0)-IF(D$321&gt;=Alternatives!$I$21,'Equipment Inventory'!$BS$12,0)-IF(D$321&gt;=Alternatives!$I$22,'Equipment Inventory'!$BS$13,0)-IF(D$321&gt;=Alternatives!$I$23,'Equipment Inventory'!$BS$14,0)</f>
        <v>0</v>
      </c>
      <c r="E346" s="375">
        <f ca="1">$B$346-IF(E$321&gt;=Alternatives!$I$16,SUMIFS('Narrative &amp; Measures'!$K$28:$K$67,'Narrative &amp; Measures'!$B$28:$B$67,"Deferred Maintenance",'Narrative &amp; Measures'!$T$28:$T$67,"&gt;="&amp;(F$321-Alternatives!$I$16)),0)-IF(E$321&gt;=Alternatives!$I$15,SUMIFS('Narrative &amp; Measures'!$K$28:$K$67,'Narrative &amp; Measures'!$B$28:$B$67,"Immediate Repairs: Life Safety &amp; Critical",'Narrative &amp; Measures'!$T$28:$T$67,"&gt;="&amp;(F$321-Alternatives!$I$16)),0)-IF(E$321&gt;=Alternatives!$I$20,'Equipment Inventory'!$BS$11,0)-IF(E$321&gt;=Alternatives!$I$21,'Equipment Inventory'!$BS$12,0)-IF(E$321&gt;=Alternatives!$I$22,'Equipment Inventory'!$BS$13,0)-IF(E$321&gt;=Alternatives!$I$23,'Equipment Inventory'!$BS$14,0)</f>
        <v>0</v>
      </c>
      <c r="F346" s="375">
        <f ca="1">$B$346-IF(F$321&gt;=Alternatives!$I$16,SUMIFS('Narrative &amp; Measures'!$K$28:$K$67,'Narrative &amp; Measures'!$B$28:$B$67,"Deferred Maintenance",'Narrative &amp; Measures'!$T$28:$T$67,"&gt;="&amp;(G$321-Alternatives!$I$16)),0)-IF(F$321&gt;=Alternatives!$I$15,SUMIFS('Narrative &amp; Measures'!$K$28:$K$67,'Narrative &amp; Measures'!$B$28:$B$67,"Immediate Repairs: Life Safety &amp; Critical",'Narrative &amp; Measures'!$T$28:$T$67,"&gt;="&amp;(G$321-Alternatives!$I$16)),0)-IF(F$321&gt;=Alternatives!$I$20,'Equipment Inventory'!$BS$11,0)-IF(F$321&gt;=Alternatives!$I$21,'Equipment Inventory'!$BS$12,0)-IF(F$321&gt;=Alternatives!$I$22,'Equipment Inventory'!$BS$13,0)-IF(F$321&gt;=Alternatives!$I$23,'Equipment Inventory'!$BS$14,0)</f>
        <v>0</v>
      </c>
      <c r="G346" s="375">
        <f ca="1">$B$346-IF(G$321&gt;=Alternatives!$I$16,SUMIFS('Narrative &amp; Measures'!$K$28:$K$67,'Narrative &amp; Measures'!$B$28:$B$67,"Deferred Maintenance",'Narrative &amp; Measures'!$T$28:$T$67,"&gt;="&amp;(H$321-Alternatives!$I$16)),0)-IF(G$321&gt;=Alternatives!$I$15,SUMIFS('Narrative &amp; Measures'!$K$28:$K$67,'Narrative &amp; Measures'!$B$28:$B$67,"Immediate Repairs: Life Safety &amp; Critical",'Narrative &amp; Measures'!$T$28:$T$67,"&gt;="&amp;(H$321-Alternatives!$I$16)),0)-IF(G$321&gt;=Alternatives!$I$20,'Equipment Inventory'!$BS$11,0)-IF(G$321&gt;=Alternatives!$I$21,'Equipment Inventory'!$BS$12,0)-IF(G$321&gt;=Alternatives!$I$22,'Equipment Inventory'!$BS$13,0)-IF(G$321&gt;=Alternatives!$I$23,'Equipment Inventory'!$BS$14,0)</f>
        <v>0</v>
      </c>
      <c r="H346" s="375">
        <f ca="1">$B$346-IF(H$321&gt;=Alternatives!$I$16,SUMIFS('Narrative &amp; Measures'!$K$28:$K$67,'Narrative &amp; Measures'!$B$28:$B$67,"Deferred Maintenance",'Narrative &amp; Measures'!$T$28:$T$67,"&gt;="&amp;(I$321-Alternatives!$I$16)),0)-IF(H$321&gt;=Alternatives!$I$15,SUMIFS('Narrative &amp; Measures'!$K$28:$K$67,'Narrative &amp; Measures'!$B$28:$B$67,"Immediate Repairs: Life Safety &amp; Critical",'Narrative &amp; Measures'!$T$28:$T$67,"&gt;="&amp;(I$321-Alternatives!$I$16)),0)-IF(H$321&gt;=Alternatives!$I$20,'Equipment Inventory'!$BS$11,0)-IF(H$321&gt;=Alternatives!$I$21,'Equipment Inventory'!$BS$12,0)-IF(H$321&gt;=Alternatives!$I$22,'Equipment Inventory'!$BS$13,0)-IF(H$321&gt;=Alternatives!$I$23,'Equipment Inventory'!$BS$14,0)</f>
        <v>0</v>
      </c>
      <c r="I346" s="375">
        <f ca="1">$B$346-IF(I$321&gt;=Alternatives!$I$16,SUMIFS('Narrative &amp; Measures'!$K$28:$K$67,'Narrative &amp; Measures'!$B$28:$B$67,"Deferred Maintenance",'Narrative &amp; Measures'!$T$28:$T$67,"&gt;="&amp;(J$321-Alternatives!$I$16)),0)-IF(I$321&gt;=Alternatives!$I$15,SUMIFS('Narrative &amp; Measures'!$K$28:$K$67,'Narrative &amp; Measures'!$B$28:$B$67,"Immediate Repairs: Life Safety &amp; Critical",'Narrative &amp; Measures'!$T$28:$T$67,"&gt;="&amp;(J$321-Alternatives!$I$16)),0)-IF(I$321&gt;=Alternatives!$I$20,'Equipment Inventory'!$BS$11,0)-IF(I$321&gt;=Alternatives!$I$21,'Equipment Inventory'!$BS$12,0)-IF(I$321&gt;=Alternatives!$I$22,'Equipment Inventory'!$BS$13,0)-IF(I$321&gt;=Alternatives!$I$23,'Equipment Inventory'!$BS$14,0)</f>
        <v>0</v>
      </c>
      <c r="J346" s="375">
        <f ca="1">$B$346-IF(J$321&gt;=Alternatives!$I$16,SUMIFS('Narrative &amp; Measures'!$K$28:$K$67,'Narrative &amp; Measures'!$B$28:$B$67,"Deferred Maintenance",'Narrative &amp; Measures'!$T$28:$T$67,"&gt;="&amp;(K$321-Alternatives!$I$16)),0)-IF(J$321&gt;=Alternatives!$I$15,SUMIFS('Narrative &amp; Measures'!$K$28:$K$67,'Narrative &amp; Measures'!$B$28:$B$67,"Immediate Repairs: Life Safety &amp; Critical",'Narrative &amp; Measures'!$T$28:$T$67,"&gt;="&amp;(K$321-Alternatives!$I$16)),0)-IF(J$321&gt;=Alternatives!$I$20,'Equipment Inventory'!$BS$11,0)-IF(J$321&gt;=Alternatives!$I$21,'Equipment Inventory'!$BS$12,0)-IF(J$321&gt;=Alternatives!$I$22,'Equipment Inventory'!$BS$13,0)-IF(J$321&gt;=Alternatives!$I$23,'Equipment Inventory'!$BS$14,0)</f>
        <v>0</v>
      </c>
      <c r="K346" s="375">
        <f ca="1">$B$346-IF(K$321&gt;=Alternatives!$I$16,SUMIFS('Narrative &amp; Measures'!$K$28:$K$67,'Narrative &amp; Measures'!$B$28:$B$67,"Deferred Maintenance",'Narrative &amp; Measures'!$T$28:$T$67,"&gt;="&amp;(L$321-Alternatives!$I$16)),0)-IF(K$321&gt;=Alternatives!$I$15,SUMIFS('Narrative &amp; Measures'!$K$28:$K$67,'Narrative &amp; Measures'!$B$28:$B$67,"Immediate Repairs: Life Safety &amp; Critical",'Narrative &amp; Measures'!$T$28:$T$67,"&gt;="&amp;(L$321-Alternatives!$I$16)),0)-IF(K$321&gt;=Alternatives!$I$20,'Equipment Inventory'!$BS$11,0)-IF(K$321&gt;=Alternatives!$I$21,'Equipment Inventory'!$BS$12,0)-IF(K$321&gt;=Alternatives!$I$22,'Equipment Inventory'!$BS$13,0)-IF(K$321&gt;=Alternatives!$I$23,'Equipment Inventory'!$BS$14,0)</f>
        <v>0</v>
      </c>
      <c r="L346" s="375">
        <f ca="1">$B$346-IF(L$321&gt;=Alternatives!$I$16,SUMIFS('Narrative &amp; Measures'!$K$28:$K$67,'Narrative &amp; Measures'!$B$28:$B$67,"Deferred Maintenance",'Narrative &amp; Measures'!$T$28:$T$67,"&gt;="&amp;(M$321-Alternatives!$I$16)),0)-IF(L$321&gt;=Alternatives!$I$15,SUMIFS('Narrative &amp; Measures'!$K$28:$K$67,'Narrative &amp; Measures'!$B$28:$B$67,"Immediate Repairs: Life Safety &amp; Critical",'Narrative &amp; Measures'!$T$28:$T$67,"&gt;="&amp;(M$321-Alternatives!$I$16)),0)-IF(L$321&gt;=Alternatives!$I$20,'Equipment Inventory'!$BS$11,0)-IF(L$321&gt;=Alternatives!$I$21,'Equipment Inventory'!$BS$12,0)-IF(L$321&gt;=Alternatives!$I$22,'Equipment Inventory'!$BS$13,0)-IF(L$321&gt;=Alternatives!$I$23,'Equipment Inventory'!$BS$14,0)</f>
        <v>0</v>
      </c>
      <c r="M346" s="375">
        <f ca="1">$B$346-IF(M$321&gt;=Alternatives!$I$16,SUMIFS('Narrative &amp; Measures'!$K$28:$K$67,'Narrative &amp; Measures'!$B$28:$B$67,"Deferred Maintenance",'Narrative &amp; Measures'!$T$28:$T$67,"&gt;="&amp;(N$321-Alternatives!$I$16)),0)-IF(M$321&gt;=Alternatives!$I$15,SUMIFS('Narrative &amp; Measures'!$K$28:$K$67,'Narrative &amp; Measures'!$B$28:$B$67,"Immediate Repairs: Life Safety &amp; Critical",'Narrative &amp; Measures'!$T$28:$T$67,"&gt;="&amp;(N$321-Alternatives!$I$16)),0)-IF(M$321&gt;=Alternatives!$I$20,'Equipment Inventory'!$BS$11,0)-IF(M$321&gt;=Alternatives!$I$21,'Equipment Inventory'!$BS$12,0)-IF(M$321&gt;=Alternatives!$I$22,'Equipment Inventory'!$BS$13,0)-IF(M$321&gt;=Alternatives!$I$23,'Equipment Inventory'!$BS$14,0)</f>
        <v>0</v>
      </c>
      <c r="N346" s="375">
        <f ca="1">$B$346-IF(N$321&gt;=Alternatives!$I$16,SUMIFS('Narrative &amp; Measures'!$K$28:$K$67,'Narrative &amp; Measures'!$B$28:$B$67,"Deferred Maintenance",'Narrative &amp; Measures'!$T$28:$T$67,"&gt;="&amp;(O$321-Alternatives!$I$16)),0)-IF(N$321&gt;=Alternatives!$I$15,SUMIFS('Narrative &amp; Measures'!$K$28:$K$67,'Narrative &amp; Measures'!$B$28:$B$67,"Immediate Repairs: Life Safety &amp; Critical",'Narrative &amp; Measures'!$T$28:$T$67,"&gt;="&amp;(O$321-Alternatives!$I$16)),0)-IF(N$321&gt;=Alternatives!$I$20,'Equipment Inventory'!$BS$11,0)-IF(N$321&gt;=Alternatives!$I$21,'Equipment Inventory'!$BS$12,0)-IF(N$321&gt;=Alternatives!$I$22,'Equipment Inventory'!$BS$13,0)-IF(N$321&gt;=Alternatives!$I$23,'Equipment Inventory'!$BS$14,0)</f>
        <v>0</v>
      </c>
      <c r="O346" s="375">
        <f ca="1">$B$346-IF(O$321&gt;=Alternatives!$I$16,SUMIFS('Narrative &amp; Measures'!$K$28:$K$67,'Narrative &amp; Measures'!$B$28:$B$67,"Deferred Maintenance",'Narrative &amp; Measures'!$T$28:$T$67,"&gt;="&amp;(P$321-Alternatives!$I$16)),0)-IF(O$321&gt;=Alternatives!$I$15,SUMIFS('Narrative &amp; Measures'!$K$28:$K$67,'Narrative &amp; Measures'!$B$28:$B$67,"Immediate Repairs: Life Safety &amp; Critical",'Narrative &amp; Measures'!$T$28:$T$67,"&gt;="&amp;(P$321-Alternatives!$I$16)),0)-IF(O$321&gt;=Alternatives!$I$20,'Equipment Inventory'!$BS$11,0)-IF(O$321&gt;=Alternatives!$I$21,'Equipment Inventory'!$BS$12,0)-IF(O$321&gt;=Alternatives!$I$22,'Equipment Inventory'!$BS$13,0)-IF(O$321&gt;=Alternatives!$I$23,'Equipment Inventory'!$BS$14,0)</f>
        <v>0</v>
      </c>
      <c r="P346" s="375">
        <f ca="1">$B$346-IF(P$321&gt;=Alternatives!$I$16,SUMIFS('Narrative &amp; Measures'!$K$28:$K$67,'Narrative &amp; Measures'!$B$28:$B$67,"Deferred Maintenance",'Narrative &amp; Measures'!$T$28:$T$67,"&gt;="&amp;(Q$321-Alternatives!$I$16)),0)-IF(P$321&gt;=Alternatives!$I$15,SUMIFS('Narrative &amp; Measures'!$K$28:$K$67,'Narrative &amp; Measures'!$B$28:$B$67,"Immediate Repairs: Life Safety &amp; Critical",'Narrative &amp; Measures'!$T$28:$T$67,"&gt;="&amp;(Q$321-Alternatives!$I$16)),0)-IF(P$321&gt;=Alternatives!$I$20,'Equipment Inventory'!$BS$11,0)-IF(P$321&gt;=Alternatives!$I$21,'Equipment Inventory'!$BS$12,0)-IF(P$321&gt;=Alternatives!$I$22,'Equipment Inventory'!$BS$13,0)-IF(P$321&gt;=Alternatives!$I$23,'Equipment Inventory'!$BS$14,0)</f>
        <v>0</v>
      </c>
      <c r="Q346" s="375">
        <f ca="1">$B$346-IF(Q$321&gt;=Alternatives!$I$16,SUMIFS('Narrative &amp; Measures'!$K$28:$K$67,'Narrative &amp; Measures'!$B$28:$B$67,"Deferred Maintenance",'Narrative &amp; Measures'!$T$28:$T$67,"&gt;="&amp;(R$321-Alternatives!$I$16)),0)-IF(Q$321&gt;=Alternatives!$I$15,SUMIFS('Narrative &amp; Measures'!$K$28:$K$67,'Narrative &amp; Measures'!$B$28:$B$67,"Immediate Repairs: Life Safety &amp; Critical",'Narrative &amp; Measures'!$T$28:$T$67,"&gt;="&amp;(R$321-Alternatives!$I$16)),0)-IF(Q$321&gt;=Alternatives!$I$20,'Equipment Inventory'!$BS$11,0)-IF(Q$321&gt;=Alternatives!$I$21,'Equipment Inventory'!$BS$12,0)-IF(Q$321&gt;=Alternatives!$I$22,'Equipment Inventory'!$BS$13,0)-IF(Q$321&gt;=Alternatives!$I$23,'Equipment Inventory'!$BS$14,0)</f>
        <v>0</v>
      </c>
      <c r="R346" s="375">
        <f ca="1">$B$346-IF(R$321&gt;=Alternatives!$I$16,SUMIFS('Narrative &amp; Measures'!$K$28:$K$67,'Narrative &amp; Measures'!$B$28:$B$67,"Deferred Maintenance",'Narrative &amp; Measures'!$T$28:$T$67,"&gt;="&amp;(S$321-Alternatives!$I$16)),0)-IF(R$321&gt;=Alternatives!$I$15,SUMIFS('Narrative &amp; Measures'!$K$28:$K$67,'Narrative &amp; Measures'!$B$28:$B$67,"Immediate Repairs: Life Safety &amp; Critical",'Narrative &amp; Measures'!$T$28:$T$67,"&gt;="&amp;(S$321-Alternatives!$I$16)),0)-IF(R$321&gt;=Alternatives!$I$20,'Equipment Inventory'!$BS$11,0)-IF(R$321&gt;=Alternatives!$I$21,'Equipment Inventory'!$BS$12,0)-IF(R$321&gt;=Alternatives!$I$22,'Equipment Inventory'!$BS$13,0)-IF(R$321&gt;=Alternatives!$I$23,'Equipment Inventory'!$BS$14,0)</f>
        <v>0</v>
      </c>
      <c r="S346" s="375">
        <f ca="1">$B$346-IF(S$321&gt;=Alternatives!$I$16,SUMIFS('Narrative &amp; Measures'!$K$28:$K$67,'Narrative &amp; Measures'!$B$28:$B$67,"Deferred Maintenance",'Narrative &amp; Measures'!$T$28:$T$67,"&gt;="&amp;(T$321-Alternatives!$I$16)),0)-IF(S$321&gt;=Alternatives!$I$15,SUMIFS('Narrative &amp; Measures'!$K$28:$K$67,'Narrative &amp; Measures'!$B$28:$B$67,"Immediate Repairs: Life Safety &amp; Critical",'Narrative &amp; Measures'!$T$28:$T$67,"&gt;="&amp;(T$321-Alternatives!$I$16)),0)-IF(S$321&gt;=Alternatives!$I$20,'Equipment Inventory'!$BS$11,0)-IF(S$321&gt;=Alternatives!$I$21,'Equipment Inventory'!$BS$12,0)-IF(S$321&gt;=Alternatives!$I$22,'Equipment Inventory'!$BS$13,0)-IF(S$321&gt;=Alternatives!$I$23,'Equipment Inventory'!$BS$14,0)</f>
        <v>0</v>
      </c>
      <c r="T346" s="375">
        <f ca="1">$B$346-IF(T$321&gt;=Alternatives!$I$16,SUMIFS('Narrative &amp; Measures'!$K$28:$K$67,'Narrative &amp; Measures'!$B$28:$B$67,"Deferred Maintenance",'Narrative &amp; Measures'!$T$28:$T$67,"&gt;="&amp;(U$321-Alternatives!$I$16)),0)-IF(T$321&gt;=Alternatives!$I$15,SUMIFS('Narrative &amp; Measures'!$K$28:$K$67,'Narrative &amp; Measures'!$B$28:$B$67,"Immediate Repairs: Life Safety &amp; Critical",'Narrative &amp; Measures'!$T$28:$T$67,"&gt;="&amp;(U$321-Alternatives!$I$16)),0)-IF(T$321&gt;=Alternatives!$I$20,'Equipment Inventory'!$BS$11,0)-IF(T$321&gt;=Alternatives!$I$21,'Equipment Inventory'!$BS$12,0)-IF(T$321&gt;=Alternatives!$I$22,'Equipment Inventory'!$BS$13,0)-IF(T$321&gt;=Alternatives!$I$23,'Equipment Inventory'!$BS$14,0)</f>
        <v>0</v>
      </c>
      <c r="U346" s="375">
        <f ca="1">$B$346-IF(U$321&gt;=Alternatives!$I$16,SUMIFS('Narrative &amp; Measures'!$K$28:$K$67,'Narrative &amp; Measures'!$B$28:$B$67,"Deferred Maintenance",'Narrative &amp; Measures'!$T$28:$T$67,"&gt;="&amp;(V$321-Alternatives!$I$16)),0)-IF(U$321&gt;=Alternatives!$I$15,SUMIFS('Narrative &amp; Measures'!$K$28:$K$67,'Narrative &amp; Measures'!$B$28:$B$67,"Immediate Repairs: Life Safety &amp; Critical",'Narrative &amp; Measures'!$T$28:$T$67,"&gt;="&amp;(V$321-Alternatives!$I$16)),0)-IF(U$321&gt;=Alternatives!$I$20,'Equipment Inventory'!$BS$11,0)-IF(U$321&gt;=Alternatives!$I$21,'Equipment Inventory'!$BS$12,0)-IF(U$321&gt;=Alternatives!$I$22,'Equipment Inventory'!$BS$13,0)-IF(U$321&gt;=Alternatives!$I$23,'Equipment Inventory'!$BS$14,0)</f>
        <v>0</v>
      </c>
      <c r="V346" s="375">
        <f ca="1">$B$346-IF(V$321&gt;=Alternatives!$I$16,SUMIFS('Narrative &amp; Measures'!$K$28:$K$67,'Narrative &amp; Measures'!$B$28:$B$67,"Deferred Maintenance",'Narrative &amp; Measures'!$T$28:$T$67,"&gt;="&amp;(W$321-Alternatives!$I$16)),0)-IF(V$321&gt;=Alternatives!$I$15,SUMIFS('Narrative &amp; Measures'!$K$28:$K$67,'Narrative &amp; Measures'!$B$28:$B$67,"Immediate Repairs: Life Safety &amp; Critical",'Narrative &amp; Measures'!$T$28:$T$67,"&gt;="&amp;(W$321-Alternatives!$I$16)),0)-IF(V$321&gt;=Alternatives!$I$20,'Equipment Inventory'!$BS$11,0)-IF(V$321&gt;=Alternatives!$I$21,'Equipment Inventory'!$BS$12,0)-IF(V$321&gt;=Alternatives!$I$22,'Equipment Inventory'!$BS$13,0)-IF(V$321&gt;=Alternatives!$I$23,'Equipment Inventory'!$BS$14,0)</f>
        <v>0</v>
      </c>
    </row>
    <row r="347" spans="1:22" s="375" customFormat="1">
      <c r="A347" s="375" t="str">
        <f t="shared" ref="A347:A351" si="205">A339</f>
        <v>Baseline - Reactive Fines</v>
      </c>
      <c r="B347" s="375">
        <f>'Building Info &amp; Assumptions'!$B$350*'Building Info &amp; Assumptions'!$D$351</f>
        <v>0</v>
      </c>
      <c r="C347" s="375">
        <f>C346</f>
        <v>0</v>
      </c>
      <c r="D347" s="375">
        <f t="shared" ref="D347:V348" ca="1" si="206">D346</f>
        <v>0</v>
      </c>
      <c r="E347" s="375">
        <f t="shared" ca="1" si="206"/>
        <v>0</v>
      </c>
      <c r="F347" s="375">
        <f t="shared" ca="1" si="206"/>
        <v>0</v>
      </c>
      <c r="G347" s="375">
        <f t="shared" ca="1" si="206"/>
        <v>0</v>
      </c>
      <c r="H347" s="375">
        <f t="shared" ca="1" si="206"/>
        <v>0</v>
      </c>
      <c r="I347" s="375">
        <f t="shared" ca="1" si="206"/>
        <v>0</v>
      </c>
      <c r="J347" s="375">
        <f t="shared" ca="1" si="206"/>
        <v>0</v>
      </c>
      <c r="K347" s="375">
        <f t="shared" ca="1" si="206"/>
        <v>0</v>
      </c>
      <c r="L347" s="375">
        <f t="shared" ca="1" si="206"/>
        <v>0</v>
      </c>
      <c r="M347" s="375">
        <f t="shared" ca="1" si="206"/>
        <v>0</v>
      </c>
      <c r="N347" s="375">
        <f t="shared" ca="1" si="206"/>
        <v>0</v>
      </c>
      <c r="O347" s="375">
        <f t="shared" ca="1" si="206"/>
        <v>0</v>
      </c>
      <c r="P347" s="375">
        <f t="shared" ca="1" si="206"/>
        <v>0</v>
      </c>
      <c r="Q347" s="375">
        <f t="shared" ca="1" si="206"/>
        <v>0</v>
      </c>
      <c r="R347" s="375">
        <f t="shared" ca="1" si="206"/>
        <v>0</v>
      </c>
      <c r="S347" s="375">
        <f t="shared" ca="1" si="206"/>
        <v>0</v>
      </c>
      <c r="T347" s="375">
        <f t="shared" ca="1" si="206"/>
        <v>0</v>
      </c>
      <c r="U347" s="375">
        <f t="shared" ca="1" si="206"/>
        <v>0</v>
      </c>
      <c r="V347" s="375">
        <f t="shared" ca="1" si="206"/>
        <v>0</v>
      </c>
    </row>
    <row r="348" spans="1:22" s="375" customFormat="1">
      <c r="A348" s="375" t="str">
        <f t="shared" si="205"/>
        <v>Baseline - Offset Based Compliance</v>
      </c>
      <c r="B348" s="375">
        <f>'Building Info &amp; Assumptions'!$B$350*'Building Info &amp; Assumptions'!$D$351</f>
        <v>0</v>
      </c>
      <c r="C348" s="375">
        <f>C347</f>
        <v>0</v>
      </c>
      <c r="D348" s="375">
        <f t="shared" ca="1" si="206"/>
        <v>0</v>
      </c>
      <c r="E348" s="375">
        <f t="shared" ca="1" si="206"/>
        <v>0</v>
      </c>
      <c r="F348" s="375">
        <f t="shared" ca="1" si="206"/>
        <v>0</v>
      </c>
      <c r="G348" s="375">
        <f t="shared" ca="1" si="206"/>
        <v>0</v>
      </c>
      <c r="H348" s="375">
        <f t="shared" ca="1" si="206"/>
        <v>0</v>
      </c>
      <c r="I348" s="375">
        <f t="shared" ca="1" si="206"/>
        <v>0</v>
      </c>
      <c r="J348" s="375">
        <f t="shared" ca="1" si="206"/>
        <v>0</v>
      </c>
      <c r="K348" s="375">
        <f t="shared" ca="1" si="206"/>
        <v>0</v>
      </c>
      <c r="L348" s="375">
        <f t="shared" ca="1" si="206"/>
        <v>0</v>
      </c>
      <c r="M348" s="375">
        <f t="shared" ca="1" si="206"/>
        <v>0</v>
      </c>
      <c r="N348" s="375">
        <f t="shared" ca="1" si="206"/>
        <v>0</v>
      </c>
      <c r="O348" s="375">
        <f t="shared" ca="1" si="206"/>
        <v>0</v>
      </c>
      <c r="P348" s="375">
        <f t="shared" ca="1" si="206"/>
        <v>0</v>
      </c>
      <c r="Q348" s="375">
        <f t="shared" ca="1" si="206"/>
        <v>0</v>
      </c>
      <c r="R348" s="375">
        <f t="shared" ca="1" si="206"/>
        <v>0</v>
      </c>
      <c r="S348" s="375">
        <f t="shared" ca="1" si="206"/>
        <v>0</v>
      </c>
      <c r="T348" s="375">
        <f t="shared" ca="1" si="206"/>
        <v>0</v>
      </c>
      <c r="U348" s="375">
        <f t="shared" ca="1" si="206"/>
        <v>0</v>
      </c>
      <c r="V348" s="375">
        <f t="shared" ca="1" si="206"/>
        <v>0</v>
      </c>
    </row>
    <row r="349" spans="1:22" s="375" customFormat="1">
      <c r="A349" s="375" t="str">
        <f t="shared" si="205"/>
        <v>Alternative 1</v>
      </c>
      <c r="B349" s="375">
        <f>'Building Info &amp; Assumptions'!$B$350*'Building Info &amp; Assumptions'!$D$351</f>
        <v>0</v>
      </c>
      <c r="C349" s="375" cm="1">
        <f t="array" ref="C349">$B349-SUM(SUMIFS('Narrative &amp; Measures'!$K$28:$K$67,'Narrative &amp; Measures'!$A$28:$A$67,Alternatives!$C$38:$C$57,'Narrative &amp; Measures'!$BV$28:$BV$67,"&lt;="&amp;C$321,'Narrative &amp; Measures'!$CD$28:$CD$67,"&gt;="&amp;D$321))</f>
        <v>0</v>
      </c>
      <c r="D349" s="375" cm="1">
        <f t="array" ref="D349">$B349-SUM(SUMIFS('Narrative &amp; Measures'!$K$28:$K$67,'Narrative &amp; Measures'!$A$28:$A$67,Alternatives!$C$38:$C$57,'Narrative &amp; Measures'!$BV$28:$BV$67,"&lt;="&amp;D$321,'Narrative &amp; Measures'!$CD$28:$CD$67,"&gt;="&amp;E$321))</f>
        <v>0</v>
      </c>
      <c r="E349" s="375" cm="1">
        <f t="array" ref="E349">$B349-SUM(SUMIFS('Narrative &amp; Measures'!$K$28:$K$67,'Narrative &amp; Measures'!$A$28:$A$67,Alternatives!$C$38:$C$57,'Narrative &amp; Measures'!$BV$28:$BV$67,"&lt;="&amp;E$321,'Narrative &amp; Measures'!$CD$28:$CD$67,"&gt;="&amp;F$321))</f>
        <v>0</v>
      </c>
      <c r="F349" s="375" cm="1">
        <f t="array" ref="F349">$B349-SUM(SUMIFS('Narrative &amp; Measures'!$K$28:$K$67,'Narrative &amp; Measures'!$A$28:$A$67,Alternatives!$C$38:$C$57,'Narrative &amp; Measures'!$BV$28:$BV$67,"&lt;="&amp;F$321,'Narrative &amp; Measures'!$CD$28:$CD$67,"&gt;="&amp;G$321))</f>
        <v>0</v>
      </c>
      <c r="G349" s="375" cm="1">
        <f t="array" ref="G349">$B349-SUM(SUMIFS('Narrative &amp; Measures'!$K$28:$K$67,'Narrative &amp; Measures'!$A$28:$A$67,Alternatives!$C$38:$C$57,'Narrative &amp; Measures'!$BV$28:$BV$67,"&lt;="&amp;G$321,'Narrative &amp; Measures'!$CD$28:$CD$67,"&gt;="&amp;H$321))</f>
        <v>0</v>
      </c>
      <c r="H349" s="375" cm="1">
        <f t="array" ref="H349">$B349-SUM(SUMIFS('Narrative &amp; Measures'!$K$28:$K$67,'Narrative &amp; Measures'!$A$28:$A$67,Alternatives!$C$38:$C$57,'Narrative &amp; Measures'!$BV$28:$BV$67,"&lt;="&amp;H$321,'Narrative &amp; Measures'!$CD$28:$CD$67,"&gt;="&amp;I$321))</f>
        <v>0</v>
      </c>
      <c r="I349" s="375" cm="1">
        <f t="array" ref="I349">$B349-SUM(SUMIFS('Narrative &amp; Measures'!$K$28:$K$67,'Narrative &amp; Measures'!$A$28:$A$67,Alternatives!$C$38:$C$57,'Narrative &amp; Measures'!$BV$28:$BV$67,"&lt;="&amp;I$321,'Narrative &amp; Measures'!$CD$28:$CD$67,"&gt;="&amp;J$321))</f>
        <v>0</v>
      </c>
      <c r="J349" s="375" cm="1">
        <f t="array" ref="J349">$B349-SUM(SUMIFS('Narrative &amp; Measures'!$K$28:$K$67,'Narrative &amp; Measures'!$A$28:$A$67,Alternatives!$C$38:$C$57,'Narrative &amp; Measures'!$BV$28:$BV$67,"&lt;="&amp;J$321,'Narrative &amp; Measures'!$CD$28:$CD$67,"&gt;="&amp;K$321))</f>
        <v>0</v>
      </c>
      <c r="K349" s="375" cm="1">
        <f t="array" ref="K349">$B349-SUM(SUMIFS('Narrative &amp; Measures'!$K$28:$K$67,'Narrative &amp; Measures'!$A$28:$A$67,Alternatives!$C$38:$C$57,'Narrative &amp; Measures'!$BV$28:$BV$67,"&lt;="&amp;K$321,'Narrative &amp; Measures'!$CD$28:$CD$67,"&gt;="&amp;L$321))</f>
        <v>0</v>
      </c>
      <c r="L349" s="375" cm="1">
        <f t="array" ref="L349">$B349-SUM(SUMIFS('Narrative &amp; Measures'!$K$28:$K$67,'Narrative &amp; Measures'!$A$28:$A$67,Alternatives!$C$38:$C$57,'Narrative &amp; Measures'!$BV$28:$BV$67,"&lt;="&amp;L$321,'Narrative &amp; Measures'!$CD$28:$CD$67,"&gt;="&amp;M$321))</f>
        <v>0</v>
      </c>
      <c r="M349" s="375" cm="1">
        <f t="array" ref="M349">$B349-SUM(SUMIFS('Narrative &amp; Measures'!$K$28:$K$67,'Narrative &amp; Measures'!$A$28:$A$67,Alternatives!$C$38:$C$57,'Narrative &amp; Measures'!$BV$28:$BV$67,"&lt;="&amp;M$321,'Narrative &amp; Measures'!$CD$28:$CD$67,"&gt;="&amp;N$321))</f>
        <v>0</v>
      </c>
      <c r="N349" s="375" cm="1">
        <f t="array" ref="N349">$B349-SUM(SUMIFS('Narrative &amp; Measures'!$K$28:$K$67,'Narrative &amp; Measures'!$A$28:$A$67,Alternatives!$C$38:$C$57,'Narrative &amp; Measures'!$BV$28:$BV$67,"&lt;="&amp;N$321,'Narrative &amp; Measures'!$CD$28:$CD$67,"&gt;="&amp;O$321))</f>
        <v>0</v>
      </c>
      <c r="O349" s="375" cm="1">
        <f t="array" ref="O349">$B349-SUM(SUMIFS('Narrative &amp; Measures'!$K$28:$K$67,'Narrative &amp; Measures'!$A$28:$A$67,Alternatives!$C$38:$C$57,'Narrative &amp; Measures'!$BV$28:$BV$67,"&lt;="&amp;O$321,'Narrative &amp; Measures'!$CD$28:$CD$67,"&gt;="&amp;P$321))</f>
        <v>0</v>
      </c>
      <c r="P349" s="375" cm="1">
        <f t="array" ref="P349">$B349-SUM(SUMIFS('Narrative &amp; Measures'!$K$28:$K$67,'Narrative &amp; Measures'!$A$28:$A$67,Alternatives!$C$38:$C$57,'Narrative &amp; Measures'!$BV$28:$BV$67,"&lt;="&amp;P$321,'Narrative &amp; Measures'!$CD$28:$CD$67,"&gt;="&amp;Q$321))</f>
        <v>0</v>
      </c>
      <c r="Q349" s="375" cm="1">
        <f t="array" ref="Q349">$B349-SUM(SUMIFS('Narrative &amp; Measures'!$K$28:$K$67,'Narrative &amp; Measures'!$A$28:$A$67,Alternatives!$C$38:$C$57,'Narrative &amp; Measures'!$BV$28:$BV$67,"&lt;="&amp;Q$321,'Narrative &amp; Measures'!$CD$28:$CD$67,"&gt;="&amp;R$321))</f>
        <v>0</v>
      </c>
      <c r="R349" s="375" cm="1">
        <f t="array" ref="R349">$B349-SUM(SUMIFS('Narrative &amp; Measures'!$K$28:$K$67,'Narrative &amp; Measures'!$A$28:$A$67,Alternatives!$C$38:$C$57,'Narrative &amp; Measures'!$BV$28:$BV$67,"&lt;="&amp;R$321,'Narrative &amp; Measures'!$CD$28:$CD$67,"&gt;="&amp;S$321))</f>
        <v>0</v>
      </c>
      <c r="S349" s="375" cm="1">
        <f t="array" ref="S349">$B349-SUM(SUMIFS('Narrative &amp; Measures'!$K$28:$K$67,'Narrative &amp; Measures'!$A$28:$A$67,Alternatives!$C$38:$C$57,'Narrative &amp; Measures'!$BV$28:$BV$67,"&lt;="&amp;S$321,'Narrative &amp; Measures'!$CD$28:$CD$67,"&gt;="&amp;T$321))</f>
        <v>0</v>
      </c>
      <c r="T349" s="375" cm="1">
        <f t="array" ref="T349">$B349-SUM(SUMIFS('Narrative &amp; Measures'!$K$28:$K$67,'Narrative &amp; Measures'!$A$28:$A$67,Alternatives!$C$38:$C$57,'Narrative &amp; Measures'!$BV$28:$BV$67,"&lt;="&amp;T$321,'Narrative &amp; Measures'!$CD$28:$CD$67,"&gt;="&amp;U$321))</f>
        <v>0</v>
      </c>
      <c r="U349" s="375" cm="1">
        <f t="array" ref="U349">$B349-SUM(SUMIFS('Narrative &amp; Measures'!$K$28:$K$67,'Narrative &amp; Measures'!$A$28:$A$67,Alternatives!$C$38:$C$57,'Narrative &amp; Measures'!$BV$28:$BV$67,"&lt;="&amp;U$321,'Narrative &amp; Measures'!$CD$28:$CD$67,"&gt;="&amp;V$321))</f>
        <v>0</v>
      </c>
      <c r="V349" s="375" cm="1">
        <f t="array" ref="V349">$B349-SUM(SUMIFS('Narrative &amp; Measures'!$K$28:$K$67,'Narrative &amp; Measures'!$A$28:$A$67,Alternatives!$C$38:$C$57,'Narrative &amp; Measures'!$BV$28:$BV$67,"&lt;="&amp;V$321,'Narrative &amp; Measures'!$CD$28:$CD$67,"&gt;="&amp;W$321))</f>
        <v>0</v>
      </c>
    </row>
    <row r="350" spans="1:22" s="375" customFormat="1">
      <c r="A350" s="375" t="str">
        <f t="shared" si="205"/>
        <v>Alternative 2</v>
      </c>
      <c r="B350" s="375">
        <f>'Building Info &amp; Assumptions'!$B$350*'Building Info &amp; Assumptions'!$D$351</f>
        <v>0</v>
      </c>
      <c r="C350" s="375" cm="1">
        <f t="array" ref="C350">$B350-SUM(SUMIFS('Narrative &amp; Measures'!$K$28:$K$67,'Narrative &amp; Measures'!$A$28:$A$67,Alternatives!$C$63:$C$82,'Narrative &amp; Measures'!$BW$28:$BW$67,"&lt;="&amp;C$321,'Narrative &amp; Measures'!$CE$28:$CE$67,"&gt;="&amp;D$321))</f>
        <v>0</v>
      </c>
      <c r="D350" s="375" cm="1">
        <f t="array" ref="D350">$B350-SUM(SUMIFS('Narrative &amp; Measures'!$K$28:$K$67,'Narrative &amp; Measures'!$A$28:$A$67,Alternatives!$C$63:$C$82,'Narrative &amp; Measures'!$BW$28:$BW$67,"&lt;="&amp;D$321,'Narrative &amp; Measures'!$CE$28:$CE$67,"&gt;="&amp;E$321))</f>
        <v>0</v>
      </c>
      <c r="E350" s="375" cm="1">
        <f t="array" ref="E350">$B350-SUM(SUMIFS('Narrative &amp; Measures'!$K$28:$K$67,'Narrative &amp; Measures'!$A$28:$A$67,Alternatives!$C$63:$C$82,'Narrative &amp; Measures'!$BW$28:$BW$67,"&lt;="&amp;E$321,'Narrative &amp; Measures'!$CE$28:$CE$67,"&gt;="&amp;F$321))</f>
        <v>0</v>
      </c>
      <c r="F350" s="375" cm="1">
        <f t="array" ref="F350">$B350-SUM(SUMIFS('Narrative &amp; Measures'!$K$28:$K$67,'Narrative &amp; Measures'!$A$28:$A$67,Alternatives!$C$63:$C$82,'Narrative &amp; Measures'!$BW$28:$BW$67,"&lt;="&amp;F$321,'Narrative &amp; Measures'!$CE$28:$CE$67,"&gt;="&amp;G$321))</f>
        <v>0</v>
      </c>
      <c r="G350" s="375" cm="1">
        <f t="array" ref="G350">$B350-SUM(SUMIFS('Narrative &amp; Measures'!$K$28:$K$67,'Narrative &amp; Measures'!$A$28:$A$67,Alternatives!$C$63:$C$82,'Narrative &amp; Measures'!$BW$28:$BW$67,"&lt;="&amp;G$321,'Narrative &amp; Measures'!$CE$28:$CE$67,"&gt;="&amp;H$321))</f>
        <v>0</v>
      </c>
      <c r="H350" s="375" cm="1">
        <f t="array" ref="H350">$B350-SUM(SUMIFS('Narrative &amp; Measures'!$K$28:$K$67,'Narrative &amp; Measures'!$A$28:$A$67,Alternatives!$C$63:$C$82,'Narrative &amp; Measures'!$BW$28:$BW$67,"&lt;="&amp;H$321,'Narrative &amp; Measures'!$CE$28:$CE$67,"&gt;="&amp;I$321))</f>
        <v>0</v>
      </c>
      <c r="I350" s="375" cm="1">
        <f t="array" ref="I350">$B350-SUM(SUMIFS('Narrative &amp; Measures'!$K$28:$K$67,'Narrative &amp; Measures'!$A$28:$A$67,Alternatives!$C$63:$C$82,'Narrative &amp; Measures'!$BW$28:$BW$67,"&lt;="&amp;I$321,'Narrative &amp; Measures'!$CE$28:$CE$67,"&gt;="&amp;J$321))</f>
        <v>0</v>
      </c>
      <c r="J350" s="375" cm="1">
        <f t="array" ref="J350">$B350-SUM(SUMIFS('Narrative &amp; Measures'!$K$28:$K$67,'Narrative &amp; Measures'!$A$28:$A$67,Alternatives!$C$63:$C$82,'Narrative &amp; Measures'!$BW$28:$BW$67,"&lt;="&amp;J$321,'Narrative &amp; Measures'!$CE$28:$CE$67,"&gt;="&amp;K$321))</f>
        <v>0</v>
      </c>
      <c r="K350" s="375" cm="1">
        <f t="array" ref="K350">$B350-SUM(SUMIFS('Narrative &amp; Measures'!$K$28:$K$67,'Narrative &amp; Measures'!$A$28:$A$67,Alternatives!$C$63:$C$82,'Narrative &amp; Measures'!$BW$28:$BW$67,"&lt;="&amp;K$321,'Narrative &amp; Measures'!$CE$28:$CE$67,"&gt;="&amp;L$321))</f>
        <v>0</v>
      </c>
      <c r="L350" s="375" cm="1">
        <f t="array" ref="L350">$B350-SUM(SUMIFS('Narrative &amp; Measures'!$K$28:$K$67,'Narrative &amp; Measures'!$A$28:$A$67,Alternatives!$C$63:$C$82,'Narrative &amp; Measures'!$BW$28:$BW$67,"&lt;="&amp;L$321,'Narrative &amp; Measures'!$CE$28:$CE$67,"&gt;="&amp;M$321))</f>
        <v>0</v>
      </c>
      <c r="M350" s="375" cm="1">
        <f t="array" ref="M350">$B350-SUM(SUMIFS('Narrative &amp; Measures'!$K$28:$K$67,'Narrative &amp; Measures'!$A$28:$A$67,Alternatives!$C$63:$C$82,'Narrative &amp; Measures'!$BW$28:$BW$67,"&lt;="&amp;M$321,'Narrative &amp; Measures'!$CE$28:$CE$67,"&gt;="&amp;N$321))</f>
        <v>0</v>
      </c>
      <c r="N350" s="375" cm="1">
        <f t="array" ref="N350">$B350-SUM(SUMIFS('Narrative &amp; Measures'!$K$28:$K$67,'Narrative &amp; Measures'!$A$28:$A$67,Alternatives!$C$63:$C$82,'Narrative &amp; Measures'!$BW$28:$BW$67,"&lt;="&amp;N$321,'Narrative &amp; Measures'!$CE$28:$CE$67,"&gt;="&amp;O$321))</f>
        <v>0</v>
      </c>
      <c r="O350" s="375" cm="1">
        <f t="array" ref="O350">$B350-SUM(SUMIFS('Narrative &amp; Measures'!$K$28:$K$67,'Narrative &amp; Measures'!$A$28:$A$67,Alternatives!$C$63:$C$82,'Narrative &amp; Measures'!$BW$28:$BW$67,"&lt;="&amp;O$321,'Narrative &amp; Measures'!$CE$28:$CE$67,"&gt;="&amp;P$321))</f>
        <v>0</v>
      </c>
      <c r="P350" s="375" cm="1">
        <f t="array" ref="P350">$B350-SUM(SUMIFS('Narrative &amp; Measures'!$K$28:$K$67,'Narrative &amp; Measures'!$A$28:$A$67,Alternatives!$C$63:$C$82,'Narrative &amp; Measures'!$BW$28:$BW$67,"&lt;="&amp;P$321,'Narrative &amp; Measures'!$CE$28:$CE$67,"&gt;="&amp;Q$321))</f>
        <v>0</v>
      </c>
      <c r="Q350" s="375" cm="1">
        <f t="array" ref="Q350">$B350-SUM(SUMIFS('Narrative &amp; Measures'!$K$28:$K$67,'Narrative &amp; Measures'!$A$28:$A$67,Alternatives!$C$63:$C$82,'Narrative &amp; Measures'!$BW$28:$BW$67,"&lt;="&amp;Q$321,'Narrative &amp; Measures'!$CE$28:$CE$67,"&gt;="&amp;R$321))</f>
        <v>0</v>
      </c>
      <c r="R350" s="375" cm="1">
        <f t="array" ref="R350">$B350-SUM(SUMIFS('Narrative &amp; Measures'!$K$28:$K$67,'Narrative &amp; Measures'!$A$28:$A$67,Alternatives!$C$63:$C$82,'Narrative &amp; Measures'!$BW$28:$BW$67,"&lt;="&amp;R$321,'Narrative &amp; Measures'!$CE$28:$CE$67,"&gt;="&amp;S$321))</f>
        <v>0</v>
      </c>
      <c r="S350" s="375" cm="1">
        <f t="array" ref="S350">$B350-SUM(SUMIFS('Narrative &amp; Measures'!$K$28:$K$67,'Narrative &amp; Measures'!$A$28:$A$67,Alternatives!$C$63:$C$82,'Narrative &amp; Measures'!$BW$28:$BW$67,"&lt;="&amp;S$321,'Narrative &amp; Measures'!$CE$28:$CE$67,"&gt;="&amp;T$321))</f>
        <v>0</v>
      </c>
      <c r="T350" s="375" cm="1">
        <f t="array" ref="T350">$B350-SUM(SUMIFS('Narrative &amp; Measures'!$K$28:$K$67,'Narrative &amp; Measures'!$A$28:$A$67,Alternatives!$C$63:$C$82,'Narrative &amp; Measures'!$BW$28:$BW$67,"&lt;="&amp;T$321,'Narrative &amp; Measures'!$CE$28:$CE$67,"&gt;="&amp;U$321))</f>
        <v>0</v>
      </c>
      <c r="U350" s="375" cm="1">
        <f t="array" ref="U350">$B350-SUM(SUMIFS('Narrative &amp; Measures'!$K$28:$K$67,'Narrative &amp; Measures'!$A$28:$A$67,Alternatives!$C$63:$C$82,'Narrative &amp; Measures'!$BW$28:$BW$67,"&lt;="&amp;U$321,'Narrative &amp; Measures'!$CE$28:$CE$67,"&gt;="&amp;V$321))</f>
        <v>0</v>
      </c>
      <c r="V350" s="375" cm="1">
        <f t="array" ref="V350">$B350-SUM(SUMIFS('Narrative &amp; Measures'!$K$28:$K$67,'Narrative &amp; Measures'!$A$28:$A$67,Alternatives!$C$63:$C$82,'Narrative &amp; Measures'!$BW$28:$BW$67,"&lt;="&amp;V$321,'Narrative &amp; Measures'!$CE$28:$CE$67,"&gt;="&amp;W$321))</f>
        <v>0</v>
      </c>
    </row>
    <row r="351" spans="1:22" s="375" customFormat="1">
      <c r="A351" s="375" t="str">
        <f t="shared" si="205"/>
        <v>Alternative 3</v>
      </c>
      <c r="B351" s="375">
        <f>'Building Info &amp; Assumptions'!$B$350*'Building Info &amp; Assumptions'!$D$351</f>
        <v>0</v>
      </c>
      <c r="C351" s="375" cm="1">
        <f t="array" ref="C351">$B351-SUM(SUMIFS('Narrative &amp; Measures'!$K$28:$K$67,'Narrative &amp; Measures'!$A$28:$A$67,Alternatives!$C$88:$C$107,'Narrative &amp; Measures'!$BX$28:$BX$67,"&lt;="&amp;C$321,'Narrative &amp; Measures'!$CF$28:$CF$67,"&gt;="&amp;D$321))</f>
        <v>0</v>
      </c>
      <c r="D351" s="375" cm="1">
        <f t="array" ref="D351">$B351-SUM(SUMIFS('Narrative &amp; Measures'!$K$28:$K$67,'Narrative &amp; Measures'!$A$28:$A$67,Alternatives!$C$88:$C$107,'Narrative &amp; Measures'!$BX$28:$BX$67,"&lt;="&amp;D$321,'Narrative &amp; Measures'!$CF$28:$CF$67,"&gt;="&amp;E$321))</f>
        <v>0</v>
      </c>
      <c r="E351" s="375" cm="1">
        <f t="array" ref="E351">$B351-SUM(SUMIFS('Narrative &amp; Measures'!$K$28:$K$67,'Narrative &amp; Measures'!$A$28:$A$67,Alternatives!$C$88:$C$107,'Narrative &amp; Measures'!$BX$28:$BX$67,"&lt;="&amp;E$321,'Narrative &amp; Measures'!$CF$28:$CF$67,"&gt;="&amp;F$321))</f>
        <v>0</v>
      </c>
      <c r="F351" s="375" cm="1">
        <f t="array" ref="F351">$B351-SUM(SUMIFS('Narrative &amp; Measures'!$K$28:$K$67,'Narrative &amp; Measures'!$A$28:$A$67,Alternatives!$C$88:$C$107,'Narrative &amp; Measures'!$BX$28:$BX$67,"&lt;="&amp;F$321,'Narrative &amp; Measures'!$CF$28:$CF$67,"&gt;="&amp;G$321))</f>
        <v>0</v>
      </c>
      <c r="G351" s="375" cm="1">
        <f t="array" ref="G351">$B351-SUM(SUMIFS('Narrative &amp; Measures'!$K$28:$K$67,'Narrative &amp; Measures'!$A$28:$A$67,Alternatives!$C$88:$C$107,'Narrative &amp; Measures'!$BX$28:$BX$67,"&lt;="&amp;G$321,'Narrative &amp; Measures'!$CF$28:$CF$67,"&gt;="&amp;H$321))</f>
        <v>0</v>
      </c>
      <c r="H351" s="375" cm="1">
        <f t="array" ref="H351">$B351-SUM(SUMIFS('Narrative &amp; Measures'!$K$28:$K$67,'Narrative &amp; Measures'!$A$28:$A$67,Alternatives!$C$88:$C$107,'Narrative &amp; Measures'!$BX$28:$BX$67,"&lt;="&amp;H$321,'Narrative &amp; Measures'!$CF$28:$CF$67,"&gt;="&amp;I$321))</f>
        <v>0</v>
      </c>
      <c r="I351" s="375" cm="1">
        <f t="array" ref="I351">$B351-SUM(SUMIFS('Narrative &amp; Measures'!$K$28:$K$67,'Narrative &amp; Measures'!$A$28:$A$67,Alternatives!$C$88:$C$107,'Narrative &amp; Measures'!$BX$28:$BX$67,"&lt;="&amp;I$321,'Narrative &amp; Measures'!$CF$28:$CF$67,"&gt;="&amp;J$321))</f>
        <v>0</v>
      </c>
      <c r="J351" s="375" cm="1">
        <f t="array" ref="J351">$B351-SUM(SUMIFS('Narrative &amp; Measures'!$K$28:$K$67,'Narrative &amp; Measures'!$A$28:$A$67,Alternatives!$C$88:$C$107,'Narrative &amp; Measures'!$BX$28:$BX$67,"&lt;="&amp;J$321,'Narrative &amp; Measures'!$CF$28:$CF$67,"&gt;="&amp;K$321))</f>
        <v>0</v>
      </c>
      <c r="K351" s="375" cm="1">
        <f t="array" ref="K351">$B351-SUM(SUMIFS('Narrative &amp; Measures'!$K$28:$K$67,'Narrative &amp; Measures'!$A$28:$A$67,Alternatives!$C$88:$C$107,'Narrative &amp; Measures'!$BX$28:$BX$67,"&lt;="&amp;K$321,'Narrative &amp; Measures'!$CF$28:$CF$67,"&gt;="&amp;L$321))</f>
        <v>0</v>
      </c>
      <c r="L351" s="375" cm="1">
        <f t="array" ref="L351">$B351-SUM(SUMIFS('Narrative &amp; Measures'!$K$28:$K$67,'Narrative &amp; Measures'!$A$28:$A$67,Alternatives!$C$88:$C$107,'Narrative &amp; Measures'!$BX$28:$BX$67,"&lt;="&amp;L$321,'Narrative &amp; Measures'!$CF$28:$CF$67,"&gt;="&amp;M$321))</f>
        <v>0</v>
      </c>
      <c r="M351" s="375" cm="1">
        <f t="array" ref="M351">$B351-SUM(SUMIFS('Narrative &amp; Measures'!$K$28:$K$67,'Narrative &amp; Measures'!$A$28:$A$67,Alternatives!$C$88:$C$107,'Narrative &amp; Measures'!$BX$28:$BX$67,"&lt;="&amp;M$321,'Narrative &amp; Measures'!$CF$28:$CF$67,"&gt;="&amp;N$321))</f>
        <v>0</v>
      </c>
      <c r="N351" s="375" cm="1">
        <f t="array" ref="N351">$B351-SUM(SUMIFS('Narrative &amp; Measures'!$K$28:$K$67,'Narrative &amp; Measures'!$A$28:$A$67,Alternatives!$C$88:$C$107,'Narrative &amp; Measures'!$BX$28:$BX$67,"&lt;="&amp;N$321,'Narrative &amp; Measures'!$CF$28:$CF$67,"&gt;="&amp;O$321))</f>
        <v>0</v>
      </c>
      <c r="O351" s="375" cm="1">
        <f t="array" ref="O351">$B351-SUM(SUMIFS('Narrative &amp; Measures'!$K$28:$K$67,'Narrative &amp; Measures'!$A$28:$A$67,Alternatives!$C$88:$C$107,'Narrative &amp; Measures'!$BX$28:$BX$67,"&lt;="&amp;O$321,'Narrative &amp; Measures'!$CF$28:$CF$67,"&gt;="&amp;P$321))</f>
        <v>0</v>
      </c>
      <c r="P351" s="375" cm="1">
        <f t="array" ref="P351">$B351-SUM(SUMIFS('Narrative &amp; Measures'!$K$28:$K$67,'Narrative &amp; Measures'!$A$28:$A$67,Alternatives!$C$88:$C$107,'Narrative &amp; Measures'!$BX$28:$BX$67,"&lt;="&amp;P$321,'Narrative &amp; Measures'!$CF$28:$CF$67,"&gt;="&amp;Q$321))</f>
        <v>0</v>
      </c>
      <c r="Q351" s="375" cm="1">
        <f t="array" ref="Q351">$B351-SUM(SUMIFS('Narrative &amp; Measures'!$K$28:$K$67,'Narrative &amp; Measures'!$A$28:$A$67,Alternatives!$C$88:$C$107,'Narrative &amp; Measures'!$BX$28:$BX$67,"&lt;="&amp;Q$321,'Narrative &amp; Measures'!$CF$28:$CF$67,"&gt;="&amp;R$321))</f>
        <v>0</v>
      </c>
      <c r="R351" s="375" cm="1">
        <f t="array" ref="R351">$B351-SUM(SUMIFS('Narrative &amp; Measures'!$K$28:$K$67,'Narrative &amp; Measures'!$A$28:$A$67,Alternatives!$C$88:$C$107,'Narrative &amp; Measures'!$BX$28:$BX$67,"&lt;="&amp;R$321,'Narrative &amp; Measures'!$CF$28:$CF$67,"&gt;="&amp;S$321))</f>
        <v>0</v>
      </c>
      <c r="S351" s="375" cm="1">
        <f t="array" ref="S351">$B351-SUM(SUMIFS('Narrative &amp; Measures'!$K$28:$K$67,'Narrative &amp; Measures'!$A$28:$A$67,Alternatives!$C$88:$C$107,'Narrative &amp; Measures'!$BX$28:$BX$67,"&lt;="&amp;S$321,'Narrative &amp; Measures'!$CF$28:$CF$67,"&gt;="&amp;T$321))</f>
        <v>0</v>
      </c>
      <c r="T351" s="375" cm="1">
        <f t="array" ref="T351">$B351-SUM(SUMIFS('Narrative &amp; Measures'!$K$28:$K$67,'Narrative &amp; Measures'!$A$28:$A$67,Alternatives!$C$88:$C$107,'Narrative &amp; Measures'!$BX$28:$BX$67,"&lt;="&amp;T$321,'Narrative &amp; Measures'!$CF$28:$CF$67,"&gt;="&amp;U$321))</f>
        <v>0</v>
      </c>
      <c r="U351" s="375" cm="1">
        <f t="array" ref="U351">$B351-SUM(SUMIFS('Narrative &amp; Measures'!$K$28:$K$67,'Narrative &amp; Measures'!$A$28:$A$67,Alternatives!$C$88:$C$107,'Narrative &amp; Measures'!$BX$28:$BX$67,"&lt;="&amp;U$321,'Narrative &amp; Measures'!$CF$28:$CF$67,"&gt;="&amp;V$321))</f>
        <v>0</v>
      </c>
      <c r="V351" s="375" cm="1">
        <f t="array" ref="V351">$B351-SUM(SUMIFS('Narrative &amp; Measures'!$K$28:$K$67,'Narrative &amp; Measures'!$A$28:$A$67,Alternatives!$C$88:$C$107,'Narrative &amp; Measures'!$BX$28:$BX$67,"&lt;="&amp;V$321,'Narrative &amp; Measures'!$CF$28:$CF$67,"&gt;="&amp;W$321))</f>
        <v>0</v>
      </c>
    </row>
    <row r="352" spans="1:22" s="375" customFormat="1"/>
    <row r="353" spans="1:22" s="375" customFormat="1">
      <c r="A353" s="375" t="s">
        <v>621</v>
      </c>
    </row>
    <row r="354" spans="1:22" s="375" customFormat="1">
      <c r="A354" s="375" t="str">
        <f>A346</f>
        <v>Baseline Reactive (Cap Op St+IR DM)</v>
      </c>
      <c r="B354" s="375">
        <f>'Building Info &amp; Assumptions'!$B$351*'Building Info &amp; Assumptions'!$D$351</f>
        <v>0</v>
      </c>
      <c r="C354" s="375">
        <f>$B$354-IF(C$321&gt;=Alternatives!$I$16,SUMIFS('Narrative &amp; Measures'!$L$28:$L$67,'Narrative &amp; Measures'!$B$28:$B$67,"Deferred Maintenance",'Narrative &amp; Measures'!$T$28:$T$67,"&gt;="&amp;(D$321-Alternatives!$I$16)),0)-IF(C$321&gt;=Alternatives!$I$15,SUMIFS('Narrative &amp; Measures'!$L$28:$L$67,'Narrative &amp; Measures'!$B$28:$B$67,"Immediate Repairs: Life Safety &amp; Critical",'Narrative &amp; Measures'!$T$28:$T$67,"&gt;="&amp;(D$321-Alternatives!$I$16)),0)-IF(C$321&gt;=Alternatives!$I$20,'Equipment Inventory'!$BT$11,0)-IF(C$321&gt;=Alternatives!$I$21,'Equipment Inventory'!$BT$12,0)-IF(C$321&gt;=Alternatives!$I$22,'Equipment Inventory'!$BT$13,0)-IF(C$321&gt;=Alternatives!$I$23,'Equipment Inventory'!$BT$14,0)</f>
        <v>0</v>
      </c>
      <c r="D354" s="375">
        <f ca="1">$B$354-IF(D$321&gt;=Alternatives!$I$16,SUMIFS('Narrative &amp; Measures'!$L$28:$L$67,'Narrative &amp; Measures'!$B$28:$B$67,"Deferred Maintenance",'Narrative &amp; Measures'!$T$28:$T$67,"&gt;="&amp;(E$321-Alternatives!$I$16)),0)-IF(D$321&gt;=Alternatives!$I$15,SUMIFS('Narrative &amp; Measures'!$L$28:$L$67,'Narrative &amp; Measures'!$B$28:$B$67,"Immediate Repairs: Life Safety &amp; Critical",'Narrative &amp; Measures'!$T$28:$T$67,"&gt;="&amp;(E$321-Alternatives!$I$16)),0)-IF(D$321&gt;=Alternatives!$I$20,'Equipment Inventory'!$BT$11,0)-IF(D$321&gt;=Alternatives!$I$21,'Equipment Inventory'!$BT$12,0)-IF(D$321&gt;=Alternatives!$I$22,'Equipment Inventory'!$BT$13,0)-IF(D$321&gt;=Alternatives!$I$23,'Equipment Inventory'!$BT$14,0)</f>
        <v>0</v>
      </c>
      <c r="E354" s="375">
        <f ca="1">$B$354-IF(E$321&gt;=Alternatives!$I$16,SUMIFS('Narrative &amp; Measures'!$L$28:$L$67,'Narrative &amp; Measures'!$B$28:$B$67,"Deferred Maintenance",'Narrative &amp; Measures'!$T$28:$T$67,"&gt;="&amp;(F$321-Alternatives!$I$16)),0)-IF(E$321&gt;=Alternatives!$I$15,SUMIFS('Narrative &amp; Measures'!$L$28:$L$67,'Narrative &amp; Measures'!$B$28:$B$67,"Immediate Repairs: Life Safety &amp; Critical",'Narrative &amp; Measures'!$T$28:$T$67,"&gt;="&amp;(F$321-Alternatives!$I$16)),0)-IF(E$321&gt;=Alternatives!$I$20,'Equipment Inventory'!$BT$11,0)-IF(E$321&gt;=Alternatives!$I$21,'Equipment Inventory'!$BT$12,0)-IF(E$321&gt;=Alternatives!$I$22,'Equipment Inventory'!$BT$13,0)-IF(E$321&gt;=Alternatives!$I$23,'Equipment Inventory'!$BT$14,0)</f>
        <v>0</v>
      </c>
      <c r="F354" s="375">
        <f ca="1">$B$354-IF(F$321&gt;=Alternatives!$I$16,SUMIFS('Narrative &amp; Measures'!$L$28:$L$67,'Narrative &amp; Measures'!$B$28:$B$67,"Deferred Maintenance",'Narrative &amp; Measures'!$T$28:$T$67,"&gt;="&amp;(G$321-Alternatives!$I$16)),0)-IF(F$321&gt;=Alternatives!$I$15,SUMIFS('Narrative &amp; Measures'!$L$28:$L$67,'Narrative &amp; Measures'!$B$28:$B$67,"Immediate Repairs: Life Safety &amp; Critical",'Narrative &amp; Measures'!$T$28:$T$67,"&gt;="&amp;(G$321-Alternatives!$I$16)),0)-IF(F$321&gt;=Alternatives!$I$20,'Equipment Inventory'!$BT$11,0)-IF(F$321&gt;=Alternatives!$I$21,'Equipment Inventory'!$BT$12,0)-IF(F$321&gt;=Alternatives!$I$22,'Equipment Inventory'!$BT$13,0)-IF(F$321&gt;=Alternatives!$I$23,'Equipment Inventory'!$BT$14,0)</f>
        <v>0</v>
      </c>
      <c r="G354" s="375">
        <f ca="1">$B$354-IF(G$321&gt;=Alternatives!$I$16,SUMIFS('Narrative &amp; Measures'!$L$28:$L$67,'Narrative &amp; Measures'!$B$28:$B$67,"Deferred Maintenance",'Narrative &amp; Measures'!$T$28:$T$67,"&gt;="&amp;(H$321-Alternatives!$I$16)),0)-IF(G$321&gt;=Alternatives!$I$15,SUMIFS('Narrative &amp; Measures'!$L$28:$L$67,'Narrative &amp; Measures'!$B$28:$B$67,"Immediate Repairs: Life Safety &amp; Critical",'Narrative &amp; Measures'!$T$28:$T$67,"&gt;="&amp;(H$321-Alternatives!$I$16)),0)-IF(G$321&gt;=Alternatives!$I$20,'Equipment Inventory'!$BT$11,0)-IF(G$321&gt;=Alternatives!$I$21,'Equipment Inventory'!$BT$12,0)-IF(G$321&gt;=Alternatives!$I$22,'Equipment Inventory'!$BT$13,0)-IF(G$321&gt;=Alternatives!$I$23,'Equipment Inventory'!$BT$14,0)</f>
        <v>0</v>
      </c>
      <c r="H354" s="375">
        <f ca="1">$B$354-IF(H$321&gt;=Alternatives!$I$16,SUMIFS('Narrative &amp; Measures'!$L$28:$L$67,'Narrative &amp; Measures'!$B$28:$B$67,"Deferred Maintenance",'Narrative &amp; Measures'!$T$28:$T$67,"&gt;="&amp;(I$321-Alternatives!$I$16)),0)-IF(H$321&gt;=Alternatives!$I$15,SUMIFS('Narrative &amp; Measures'!$L$28:$L$67,'Narrative &amp; Measures'!$B$28:$B$67,"Immediate Repairs: Life Safety &amp; Critical",'Narrative &amp; Measures'!$T$28:$T$67,"&gt;="&amp;(I$321-Alternatives!$I$16)),0)-IF(H$321&gt;=Alternatives!$I$20,'Equipment Inventory'!$BT$11,0)-IF(H$321&gt;=Alternatives!$I$21,'Equipment Inventory'!$BT$12,0)-IF(H$321&gt;=Alternatives!$I$22,'Equipment Inventory'!$BT$13,0)-IF(H$321&gt;=Alternatives!$I$23,'Equipment Inventory'!$BT$14,0)</f>
        <v>0</v>
      </c>
      <c r="I354" s="375">
        <f ca="1">$B$354-IF(I$321&gt;=Alternatives!$I$16,SUMIFS('Narrative &amp; Measures'!$L$28:$L$67,'Narrative &amp; Measures'!$B$28:$B$67,"Deferred Maintenance",'Narrative &amp; Measures'!$T$28:$T$67,"&gt;="&amp;(J$321-Alternatives!$I$16)),0)-IF(I$321&gt;=Alternatives!$I$15,SUMIFS('Narrative &amp; Measures'!$L$28:$L$67,'Narrative &amp; Measures'!$B$28:$B$67,"Immediate Repairs: Life Safety &amp; Critical",'Narrative &amp; Measures'!$T$28:$T$67,"&gt;="&amp;(J$321-Alternatives!$I$16)),0)-IF(I$321&gt;=Alternatives!$I$20,'Equipment Inventory'!$BT$11,0)-IF(I$321&gt;=Alternatives!$I$21,'Equipment Inventory'!$BT$12,0)-IF(I$321&gt;=Alternatives!$I$22,'Equipment Inventory'!$BT$13,0)-IF(I$321&gt;=Alternatives!$I$23,'Equipment Inventory'!$BT$14,0)</f>
        <v>0</v>
      </c>
      <c r="J354" s="375">
        <f ca="1">$B$354-IF(J$321&gt;=Alternatives!$I$16,SUMIFS('Narrative &amp; Measures'!$L$28:$L$67,'Narrative &amp; Measures'!$B$28:$B$67,"Deferred Maintenance",'Narrative &amp; Measures'!$T$28:$T$67,"&gt;="&amp;(K$321-Alternatives!$I$16)),0)-IF(J$321&gt;=Alternatives!$I$15,SUMIFS('Narrative &amp; Measures'!$L$28:$L$67,'Narrative &amp; Measures'!$B$28:$B$67,"Immediate Repairs: Life Safety &amp; Critical",'Narrative &amp; Measures'!$T$28:$T$67,"&gt;="&amp;(K$321-Alternatives!$I$16)),0)-IF(J$321&gt;=Alternatives!$I$20,'Equipment Inventory'!$BT$11,0)-IF(J$321&gt;=Alternatives!$I$21,'Equipment Inventory'!$BT$12,0)-IF(J$321&gt;=Alternatives!$I$22,'Equipment Inventory'!$BT$13,0)-IF(J$321&gt;=Alternatives!$I$23,'Equipment Inventory'!$BT$14,0)</f>
        <v>0</v>
      </c>
      <c r="K354" s="375">
        <f ca="1">$B$354-IF(K$321&gt;=Alternatives!$I$16,SUMIFS('Narrative &amp; Measures'!$L$28:$L$67,'Narrative &amp; Measures'!$B$28:$B$67,"Deferred Maintenance",'Narrative &amp; Measures'!$T$28:$T$67,"&gt;="&amp;(L$321-Alternatives!$I$16)),0)-IF(K$321&gt;=Alternatives!$I$15,SUMIFS('Narrative &amp; Measures'!$L$28:$L$67,'Narrative &amp; Measures'!$B$28:$B$67,"Immediate Repairs: Life Safety &amp; Critical",'Narrative &amp; Measures'!$T$28:$T$67,"&gt;="&amp;(L$321-Alternatives!$I$16)),0)-IF(K$321&gt;=Alternatives!$I$20,'Equipment Inventory'!$BT$11,0)-IF(K$321&gt;=Alternatives!$I$21,'Equipment Inventory'!$BT$12,0)-IF(K$321&gt;=Alternatives!$I$22,'Equipment Inventory'!$BT$13,0)-IF(K$321&gt;=Alternatives!$I$23,'Equipment Inventory'!$BT$14,0)</f>
        <v>0</v>
      </c>
      <c r="L354" s="375">
        <f ca="1">$B$354-IF(L$321&gt;=Alternatives!$I$16,SUMIFS('Narrative &amp; Measures'!$L$28:$L$67,'Narrative &amp; Measures'!$B$28:$B$67,"Deferred Maintenance",'Narrative &amp; Measures'!$T$28:$T$67,"&gt;="&amp;(M$321-Alternatives!$I$16)),0)-IF(L$321&gt;=Alternatives!$I$15,SUMIFS('Narrative &amp; Measures'!$L$28:$L$67,'Narrative &amp; Measures'!$B$28:$B$67,"Immediate Repairs: Life Safety &amp; Critical",'Narrative &amp; Measures'!$T$28:$T$67,"&gt;="&amp;(M$321-Alternatives!$I$16)),0)-IF(L$321&gt;=Alternatives!$I$20,'Equipment Inventory'!$BT$11,0)-IF(L$321&gt;=Alternatives!$I$21,'Equipment Inventory'!$BT$12,0)-IF(L$321&gt;=Alternatives!$I$22,'Equipment Inventory'!$BT$13,0)-IF(L$321&gt;=Alternatives!$I$23,'Equipment Inventory'!$BT$14,0)</f>
        <v>0</v>
      </c>
      <c r="M354" s="375">
        <f ca="1">$B$354-IF(M$321&gt;=Alternatives!$I$16,SUMIFS('Narrative &amp; Measures'!$L$28:$L$67,'Narrative &amp; Measures'!$B$28:$B$67,"Deferred Maintenance",'Narrative &amp; Measures'!$T$28:$T$67,"&gt;="&amp;(N$321-Alternatives!$I$16)),0)-IF(M$321&gt;=Alternatives!$I$15,SUMIFS('Narrative &amp; Measures'!$L$28:$L$67,'Narrative &amp; Measures'!$B$28:$B$67,"Immediate Repairs: Life Safety &amp; Critical",'Narrative &amp; Measures'!$T$28:$T$67,"&gt;="&amp;(N$321-Alternatives!$I$16)),0)-IF(M$321&gt;=Alternatives!$I$20,'Equipment Inventory'!$BT$11,0)-IF(M$321&gt;=Alternatives!$I$21,'Equipment Inventory'!$BT$12,0)-IF(M$321&gt;=Alternatives!$I$22,'Equipment Inventory'!$BT$13,0)-IF(M$321&gt;=Alternatives!$I$23,'Equipment Inventory'!$BT$14,0)</f>
        <v>0</v>
      </c>
      <c r="N354" s="375">
        <f ca="1">$B$354-IF(N$321&gt;=Alternatives!$I$16,SUMIFS('Narrative &amp; Measures'!$L$28:$L$67,'Narrative &amp; Measures'!$B$28:$B$67,"Deferred Maintenance",'Narrative &amp; Measures'!$T$28:$T$67,"&gt;="&amp;(O$321-Alternatives!$I$16)),0)-IF(N$321&gt;=Alternatives!$I$15,SUMIFS('Narrative &amp; Measures'!$L$28:$L$67,'Narrative &amp; Measures'!$B$28:$B$67,"Immediate Repairs: Life Safety &amp; Critical",'Narrative &amp; Measures'!$T$28:$T$67,"&gt;="&amp;(O$321-Alternatives!$I$16)),0)-IF(N$321&gt;=Alternatives!$I$20,'Equipment Inventory'!$BT$11,0)-IF(N$321&gt;=Alternatives!$I$21,'Equipment Inventory'!$BT$12,0)-IF(N$321&gt;=Alternatives!$I$22,'Equipment Inventory'!$BT$13,0)-IF(N$321&gt;=Alternatives!$I$23,'Equipment Inventory'!$BT$14,0)</f>
        <v>0</v>
      </c>
      <c r="O354" s="375">
        <f ca="1">$B$354-IF(O$321&gt;=Alternatives!$I$16,SUMIFS('Narrative &amp; Measures'!$L$28:$L$67,'Narrative &amp; Measures'!$B$28:$B$67,"Deferred Maintenance",'Narrative &amp; Measures'!$T$28:$T$67,"&gt;="&amp;(P$321-Alternatives!$I$16)),0)-IF(O$321&gt;=Alternatives!$I$15,SUMIFS('Narrative &amp; Measures'!$L$28:$L$67,'Narrative &amp; Measures'!$B$28:$B$67,"Immediate Repairs: Life Safety &amp; Critical",'Narrative &amp; Measures'!$T$28:$T$67,"&gt;="&amp;(P$321-Alternatives!$I$16)),0)-IF(O$321&gt;=Alternatives!$I$20,'Equipment Inventory'!$BT$11,0)-IF(O$321&gt;=Alternatives!$I$21,'Equipment Inventory'!$BT$12,0)-IF(O$321&gt;=Alternatives!$I$22,'Equipment Inventory'!$BT$13,0)-IF(O$321&gt;=Alternatives!$I$23,'Equipment Inventory'!$BT$14,0)</f>
        <v>0</v>
      </c>
      <c r="P354" s="375">
        <f ca="1">$B$354-IF(P$321&gt;=Alternatives!$I$16,SUMIFS('Narrative &amp; Measures'!$L$28:$L$67,'Narrative &amp; Measures'!$B$28:$B$67,"Deferred Maintenance",'Narrative &amp; Measures'!$T$28:$T$67,"&gt;="&amp;(Q$321-Alternatives!$I$16)),0)-IF(P$321&gt;=Alternatives!$I$15,SUMIFS('Narrative &amp; Measures'!$L$28:$L$67,'Narrative &amp; Measures'!$B$28:$B$67,"Immediate Repairs: Life Safety &amp; Critical",'Narrative &amp; Measures'!$T$28:$T$67,"&gt;="&amp;(Q$321-Alternatives!$I$16)),0)-IF(P$321&gt;=Alternatives!$I$20,'Equipment Inventory'!$BT$11,0)-IF(P$321&gt;=Alternatives!$I$21,'Equipment Inventory'!$BT$12,0)-IF(P$321&gt;=Alternatives!$I$22,'Equipment Inventory'!$BT$13,0)-IF(P$321&gt;=Alternatives!$I$23,'Equipment Inventory'!$BT$14,0)</f>
        <v>0</v>
      </c>
      <c r="Q354" s="375">
        <f ca="1">$B$354-IF(Q$321&gt;=Alternatives!$I$16,SUMIFS('Narrative &amp; Measures'!$L$28:$L$67,'Narrative &amp; Measures'!$B$28:$B$67,"Deferred Maintenance",'Narrative &amp; Measures'!$T$28:$T$67,"&gt;="&amp;(R$321-Alternatives!$I$16)),0)-IF(Q$321&gt;=Alternatives!$I$15,SUMIFS('Narrative &amp; Measures'!$L$28:$L$67,'Narrative &amp; Measures'!$B$28:$B$67,"Immediate Repairs: Life Safety &amp; Critical",'Narrative &amp; Measures'!$T$28:$T$67,"&gt;="&amp;(R$321-Alternatives!$I$16)),0)-IF(Q$321&gt;=Alternatives!$I$20,'Equipment Inventory'!$BT$11,0)-IF(Q$321&gt;=Alternatives!$I$21,'Equipment Inventory'!$BT$12,0)-IF(Q$321&gt;=Alternatives!$I$22,'Equipment Inventory'!$BT$13,0)-IF(Q$321&gt;=Alternatives!$I$23,'Equipment Inventory'!$BT$14,0)</f>
        <v>0</v>
      </c>
      <c r="R354" s="375">
        <f ca="1">$B$354-IF(R$321&gt;=Alternatives!$I$16,SUMIFS('Narrative &amp; Measures'!$L$28:$L$67,'Narrative &amp; Measures'!$B$28:$B$67,"Deferred Maintenance",'Narrative &amp; Measures'!$T$28:$T$67,"&gt;="&amp;(S$321-Alternatives!$I$16)),0)-IF(R$321&gt;=Alternatives!$I$15,SUMIFS('Narrative &amp; Measures'!$L$28:$L$67,'Narrative &amp; Measures'!$B$28:$B$67,"Immediate Repairs: Life Safety &amp; Critical",'Narrative &amp; Measures'!$T$28:$T$67,"&gt;="&amp;(S$321-Alternatives!$I$16)),0)-IF(R$321&gt;=Alternatives!$I$20,'Equipment Inventory'!$BT$11,0)-IF(R$321&gt;=Alternatives!$I$21,'Equipment Inventory'!$BT$12,0)-IF(R$321&gt;=Alternatives!$I$22,'Equipment Inventory'!$BT$13,0)-IF(R$321&gt;=Alternatives!$I$23,'Equipment Inventory'!$BT$14,0)</f>
        <v>0</v>
      </c>
      <c r="S354" s="375">
        <f ca="1">$B$354-IF(S$321&gt;=Alternatives!$I$16,SUMIFS('Narrative &amp; Measures'!$L$28:$L$67,'Narrative &amp; Measures'!$B$28:$B$67,"Deferred Maintenance",'Narrative &amp; Measures'!$T$28:$T$67,"&gt;="&amp;(T$321-Alternatives!$I$16)),0)-IF(S$321&gt;=Alternatives!$I$15,SUMIFS('Narrative &amp; Measures'!$L$28:$L$67,'Narrative &amp; Measures'!$B$28:$B$67,"Immediate Repairs: Life Safety &amp; Critical",'Narrative &amp; Measures'!$T$28:$T$67,"&gt;="&amp;(T$321-Alternatives!$I$16)),0)-IF(S$321&gt;=Alternatives!$I$20,'Equipment Inventory'!$BT$11,0)-IF(S$321&gt;=Alternatives!$I$21,'Equipment Inventory'!$BT$12,0)-IF(S$321&gt;=Alternatives!$I$22,'Equipment Inventory'!$BT$13,0)-IF(S$321&gt;=Alternatives!$I$23,'Equipment Inventory'!$BT$14,0)</f>
        <v>0</v>
      </c>
      <c r="T354" s="375">
        <f ca="1">$B$354-IF(T$321&gt;=Alternatives!$I$16,SUMIFS('Narrative &amp; Measures'!$L$28:$L$67,'Narrative &amp; Measures'!$B$28:$B$67,"Deferred Maintenance",'Narrative &amp; Measures'!$T$28:$T$67,"&gt;="&amp;(U$321-Alternatives!$I$16)),0)-IF(T$321&gt;=Alternatives!$I$15,SUMIFS('Narrative &amp; Measures'!$L$28:$L$67,'Narrative &amp; Measures'!$B$28:$B$67,"Immediate Repairs: Life Safety &amp; Critical",'Narrative &amp; Measures'!$T$28:$T$67,"&gt;="&amp;(U$321-Alternatives!$I$16)),0)-IF(T$321&gt;=Alternatives!$I$20,'Equipment Inventory'!$BT$11,0)-IF(T$321&gt;=Alternatives!$I$21,'Equipment Inventory'!$BT$12,0)-IF(T$321&gt;=Alternatives!$I$22,'Equipment Inventory'!$BT$13,0)-IF(T$321&gt;=Alternatives!$I$23,'Equipment Inventory'!$BT$14,0)</f>
        <v>0</v>
      </c>
      <c r="U354" s="375">
        <f ca="1">$B$354-IF(U$321&gt;=Alternatives!$I$16,SUMIFS('Narrative &amp; Measures'!$L$28:$L$67,'Narrative &amp; Measures'!$B$28:$B$67,"Deferred Maintenance",'Narrative &amp; Measures'!$T$28:$T$67,"&gt;="&amp;(V$321-Alternatives!$I$16)),0)-IF(U$321&gt;=Alternatives!$I$15,SUMIFS('Narrative &amp; Measures'!$L$28:$L$67,'Narrative &amp; Measures'!$B$28:$B$67,"Immediate Repairs: Life Safety &amp; Critical",'Narrative &amp; Measures'!$T$28:$T$67,"&gt;="&amp;(V$321-Alternatives!$I$16)),0)-IF(U$321&gt;=Alternatives!$I$20,'Equipment Inventory'!$BT$11,0)-IF(U$321&gt;=Alternatives!$I$21,'Equipment Inventory'!$BT$12,0)-IF(U$321&gt;=Alternatives!$I$22,'Equipment Inventory'!$BT$13,0)-IF(U$321&gt;=Alternatives!$I$23,'Equipment Inventory'!$BT$14,0)</f>
        <v>0</v>
      </c>
      <c r="V354" s="375">
        <f ca="1">$B$354-IF(V$321&gt;=Alternatives!$I$16,SUMIFS('Narrative &amp; Measures'!$L$28:$L$67,'Narrative &amp; Measures'!$B$28:$B$67,"Deferred Maintenance",'Narrative &amp; Measures'!$T$28:$T$67,"&gt;="&amp;(W$321-Alternatives!$I$16)),0)-IF(V$321&gt;=Alternatives!$I$15,SUMIFS('Narrative &amp; Measures'!$L$28:$L$67,'Narrative &amp; Measures'!$B$28:$B$67,"Immediate Repairs: Life Safety &amp; Critical",'Narrative &amp; Measures'!$T$28:$T$67,"&gt;="&amp;(W$321-Alternatives!$I$16)),0)-IF(V$321&gt;=Alternatives!$I$20,'Equipment Inventory'!$BT$11,0)-IF(V$321&gt;=Alternatives!$I$21,'Equipment Inventory'!$BT$12,0)-IF(V$321&gt;=Alternatives!$I$22,'Equipment Inventory'!$BT$13,0)-IF(V$321&gt;=Alternatives!$I$23,'Equipment Inventory'!$BT$14,0)</f>
        <v>0</v>
      </c>
    </row>
    <row r="355" spans="1:22" s="375" customFormat="1">
      <c r="A355" s="375" t="str">
        <f t="shared" ref="A355:A359" si="207">A347</f>
        <v>Baseline - Reactive Fines</v>
      </c>
      <c r="B355" s="375">
        <f>'Building Info &amp; Assumptions'!$B$351*'Building Info &amp; Assumptions'!$D$351</f>
        <v>0</v>
      </c>
      <c r="C355" s="375">
        <f>C354</f>
        <v>0</v>
      </c>
      <c r="D355" s="375">
        <f t="shared" ref="D355:V356" ca="1" si="208">D354</f>
        <v>0</v>
      </c>
      <c r="E355" s="375">
        <f t="shared" ca="1" si="208"/>
        <v>0</v>
      </c>
      <c r="F355" s="375">
        <f t="shared" ca="1" si="208"/>
        <v>0</v>
      </c>
      <c r="G355" s="375">
        <f t="shared" ca="1" si="208"/>
        <v>0</v>
      </c>
      <c r="H355" s="375">
        <f t="shared" ca="1" si="208"/>
        <v>0</v>
      </c>
      <c r="I355" s="375">
        <f t="shared" ca="1" si="208"/>
        <v>0</v>
      </c>
      <c r="J355" s="375">
        <f t="shared" ca="1" si="208"/>
        <v>0</v>
      </c>
      <c r="K355" s="375">
        <f t="shared" ca="1" si="208"/>
        <v>0</v>
      </c>
      <c r="L355" s="375">
        <f t="shared" ca="1" si="208"/>
        <v>0</v>
      </c>
      <c r="M355" s="375">
        <f t="shared" ca="1" si="208"/>
        <v>0</v>
      </c>
      <c r="N355" s="375">
        <f t="shared" ca="1" si="208"/>
        <v>0</v>
      </c>
      <c r="O355" s="375">
        <f t="shared" ca="1" si="208"/>
        <v>0</v>
      </c>
      <c r="P355" s="375">
        <f t="shared" ca="1" si="208"/>
        <v>0</v>
      </c>
      <c r="Q355" s="375">
        <f t="shared" ca="1" si="208"/>
        <v>0</v>
      </c>
      <c r="R355" s="375">
        <f t="shared" ca="1" si="208"/>
        <v>0</v>
      </c>
      <c r="S355" s="375">
        <f t="shared" ca="1" si="208"/>
        <v>0</v>
      </c>
      <c r="T355" s="375">
        <f t="shared" ca="1" si="208"/>
        <v>0</v>
      </c>
      <c r="U355" s="375">
        <f t="shared" ca="1" si="208"/>
        <v>0</v>
      </c>
      <c r="V355" s="375">
        <f t="shared" ca="1" si="208"/>
        <v>0</v>
      </c>
    </row>
    <row r="356" spans="1:22" s="375" customFormat="1">
      <c r="A356" s="375" t="str">
        <f t="shared" si="207"/>
        <v>Baseline - Offset Based Compliance</v>
      </c>
      <c r="B356" s="375">
        <f>'Building Info &amp; Assumptions'!$B$351*'Building Info &amp; Assumptions'!$D$351</f>
        <v>0</v>
      </c>
      <c r="C356" s="375">
        <f>C355</f>
        <v>0</v>
      </c>
      <c r="D356" s="375">
        <f t="shared" ca="1" si="208"/>
        <v>0</v>
      </c>
      <c r="E356" s="375">
        <f t="shared" ca="1" si="208"/>
        <v>0</v>
      </c>
      <c r="F356" s="375">
        <f t="shared" ca="1" si="208"/>
        <v>0</v>
      </c>
      <c r="G356" s="375">
        <f t="shared" ca="1" si="208"/>
        <v>0</v>
      </c>
      <c r="H356" s="375">
        <f t="shared" ca="1" si="208"/>
        <v>0</v>
      </c>
      <c r="I356" s="375">
        <f t="shared" ca="1" si="208"/>
        <v>0</v>
      </c>
      <c r="J356" s="375">
        <f t="shared" ca="1" si="208"/>
        <v>0</v>
      </c>
      <c r="K356" s="375">
        <f t="shared" ca="1" si="208"/>
        <v>0</v>
      </c>
      <c r="L356" s="375">
        <f t="shared" ca="1" si="208"/>
        <v>0</v>
      </c>
      <c r="M356" s="375">
        <f t="shared" ca="1" si="208"/>
        <v>0</v>
      </c>
      <c r="N356" s="375">
        <f t="shared" ca="1" si="208"/>
        <v>0</v>
      </c>
      <c r="O356" s="375">
        <f t="shared" ca="1" si="208"/>
        <v>0</v>
      </c>
      <c r="P356" s="375">
        <f t="shared" ca="1" si="208"/>
        <v>0</v>
      </c>
      <c r="Q356" s="375">
        <f t="shared" ca="1" si="208"/>
        <v>0</v>
      </c>
      <c r="R356" s="375">
        <f t="shared" ca="1" si="208"/>
        <v>0</v>
      </c>
      <c r="S356" s="375">
        <f t="shared" ca="1" si="208"/>
        <v>0</v>
      </c>
      <c r="T356" s="375">
        <f t="shared" ca="1" si="208"/>
        <v>0</v>
      </c>
      <c r="U356" s="375">
        <f t="shared" ca="1" si="208"/>
        <v>0</v>
      </c>
      <c r="V356" s="375">
        <f t="shared" ca="1" si="208"/>
        <v>0</v>
      </c>
    </row>
    <row r="357" spans="1:22" s="375" customFormat="1">
      <c r="A357" s="375" t="str">
        <f t="shared" si="207"/>
        <v>Alternative 1</v>
      </c>
      <c r="B357" s="375">
        <f>'Building Info &amp; Assumptions'!$B$351*'Building Info &amp; Assumptions'!$D$351</f>
        <v>0</v>
      </c>
      <c r="C357" s="375" cm="1">
        <f t="array" ref="C357">$B357-SUM(SUMIFS('Narrative &amp; Measures'!$L$28:$L$67,'Narrative &amp; Measures'!$A$28:$A$67,Alternatives!$C$38:$C$57,'Narrative &amp; Measures'!$BV$28:$BV$67,"&lt;="&amp;C$321,'Narrative &amp; Measures'!$CD$28:$CD$67,"&gt;="&amp;D$321))</f>
        <v>0</v>
      </c>
      <c r="D357" s="375" cm="1">
        <f t="array" ref="D357">$B357-SUM(SUMIFS('Narrative &amp; Measures'!$L$28:$L$67,'Narrative &amp; Measures'!$A$28:$A$67,Alternatives!$C$38:$C$57,'Narrative &amp; Measures'!$BV$28:$BV$67,"&lt;="&amp;D$321,'Narrative &amp; Measures'!$CD$28:$CD$67,"&gt;="&amp;E$321))</f>
        <v>0</v>
      </c>
      <c r="E357" s="375" cm="1">
        <f t="array" ref="E357">$B357-SUM(SUMIFS('Narrative &amp; Measures'!$L$28:$L$67,'Narrative &amp; Measures'!$A$28:$A$67,Alternatives!$C$38:$C$57,'Narrative &amp; Measures'!$BV$28:$BV$67,"&lt;="&amp;E$321,'Narrative &amp; Measures'!$CD$28:$CD$67,"&gt;="&amp;F$321))</f>
        <v>0</v>
      </c>
      <c r="F357" s="375" cm="1">
        <f t="array" ref="F357">$B357-SUM(SUMIFS('Narrative &amp; Measures'!$L$28:$L$67,'Narrative &amp; Measures'!$A$28:$A$67,Alternatives!$C$38:$C$57,'Narrative &amp; Measures'!$BV$28:$BV$67,"&lt;="&amp;F$321,'Narrative &amp; Measures'!$CD$28:$CD$67,"&gt;="&amp;G$321))</f>
        <v>0</v>
      </c>
      <c r="G357" s="375" cm="1">
        <f t="array" ref="G357">$B357-SUM(SUMIFS('Narrative &amp; Measures'!$L$28:$L$67,'Narrative &amp; Measures'!$A$28:$A$67,Alternatives!$C$38:$C$57,'Narrative &amp; Measures'!$BV$28:$BV$67,"&lt;="&amp;G$321,'Narrative &amp; Measures'!$CD$28:$CD$67,"&gt;="&amp;H$321))</f>
        <v>0</v>
      </c>
      <c r="H357" s="375" cm="1">
        <f t="array" ref="H357">$B357-SUM(SUMIFS('Narrative &amp; Measures'!$L$28:$L$67,'Narrative &amp; Measures'!$A$28:$A$67,Alternatives!$C$38:$C$57,'Narrative &amp; Measures'!$BV$28:$BV$67,"&lt;="&amp;H$321,'Narrative &amp; Measures'!$CD$28:$CD$67,"&gt;="&amp;I$321))</f>
        <v>0</v>
      </c>
      <c r="I357" s="375" cm="1">
        <f t="array" ref="I357">$B357-SUM(SUMIFS('Narrative &amp; Measures'!$L$28:$L$67,'Narrative &amp; Measures'!$A$28:$A$67,Alternatives!$C$38:$C$57,'Narrative &amp; Measures'!$BV$28:$BV$67,"&lt;="&amp;I$321,'Narrative &amp; Measures'!$CD$28:$CD$67,"&gt;="&amp;J$321))</f>
        <v>0</v>
      </c>
      <c r="J357" s="375" cm="1">
        <f t="array" ref="J357">$B357-SUM(SUMIFS('Narrative &amp; Measures'!$L$28:$L$67,'Narrative &amp; Measures'!$A$28:$A$67,Alternatives!$C$38:$C$57,'Narrative &amp; Measures'!$BV$28:$BV$67,"&lt;="&amp;J$321,'Narrative &amp; Measures'!$CD$28:$CD$67,"&gt;="&amp;K$321))</f>
        <v>0</v>
      </c>
      <c r="K357" s="375" cm="1">
        <f t="array" ref="K357">$B357-SUM(SUMIFS('Narrative &amp; Measures'!$L$28:$L$67,'Narrative &amp; Measures'!$A$28:$A$67,Alternatives!$C$38:$C$57,'Narrative &amp; Measures'!$BV$28:$BV$67,"&lt;="&amp;K$321,'Narrative &amp; Measures'!$CD$28:$CD$67,"&gt;="&amp;L$321))</f>
        <v>0</v>
      </c>
      <c r="L357" s="375" cm="1">
        <f t="array" ref="L357">$B357-SUM(SUMIFS('Narrative &amp; Measures'!$L$28:$L$67,'Narrative &amp; Measures'!$A$28:$A$67,Alternatives!$C$38:$C$57,'Narrative &amp; Measures'!$BV$28:$BV$67,"&lt;="&amp;L$321,'Narrative &amp; Measures'!$CD$28:$CD$67,"&gt;="&amp;M$321))</f>
        <v>0</v>
      </c>
      <c r="M357" s="375" cm="1">
        <f t="array" ref="M357">$B357-SUM(SUMIFS('Narrative &amp; Measures'!$L$28:$L$67,'Narrative &amp; Measures'!$A$28:$A$67,Alternatives!$C$38:$C$57,'Narrative &amp; Measures'!$BV$28:$BV$67,"&lt;="&amp;M$321,'Narrative &amp; Measures'!$CD$28:$CD$67,"&gt;="&amp;N$321))</f>
        <v>0</v>
      </c>
      <c r="N357" s="375" cm="1">
        <f t="array" ref="N357">$B357-SUM(SUMIFS('Narrative &amp; Measures'!$L$28:$L$67,'Narrative &amp; Measures'!$A$28:$A$67,Alternatives!$C$38:$C$57,'Narrative &amp; Measures'!$BV$28:$BV$67,"&lt;="&amp;N$321,'Narrative &amp; Measures'!$CD$28:$CD$67,"&gt;="&amp;O$321))</f>
        <v>0</v>
      </c>
      <c r="O357" s="375" cm="1">
        <f t="array" ref="O357">$B357-SUM(SUMIFS('Narrative &amp; Measures'!$L$28:$L$67,'Narrative &amp; Measures'!$A$28:$A$67,Alternatives!$C$38:$C$57,'Narrative &amp; Measures'!$BV$28:$BV$67,"&lt;="&amp;O$321,'Narrative &amp; Measures'!$CD$28:$CD$67,"&gt;="&amp;P$321))</f>
        <v>0</v>
      </c>
      <c r="P357" s="375" cm="1">
        <f t="array" ref="P357">$B357-SUM(SUMIFS('Narrative &amp; Measures'!$L$28:$L$67,'Narrative &amp; Measures'!$A$28:$A$67,Alternatives!$C$38:$C$57,'Narrative &amp; Measures'!$BV$28:$BV$67,"&lt;="&amp;P$321,'Narrative &amp; Measures'!$CD$28:$CD$67,"&gt;="&amp;Q$321))</f>
        <v>0</v>
      </c>
      <c r="Q357" s="375" cm="1">
        <f t="array" ref="Q357">$B357-SUM(SUMIFS('Narrative &amp; Measures'!$L$28:$L$67,'Narrative &amp; Measures'!$A$28:$A$67,Alternatives!$C$38:$C$57,'Narrative &amp; Measures'!$BV$28:$BV$67,"&lt;="&amp;Q$321,'Narrative &amp; Measures'!$CD$28:$CD$67,"&gt;="&amp;R$321))</f>
        <v>0</v>
      </c>
      <c r="R357" s="375" cm="1">
        <f t="array" ref="R357">$B357-SUM(SUMIFS('Narrative &amp; Measures'!$L$28:$L$67,'Narrative &amp; Measures'!$A$28:$A$67,Alternatives!$C$38:$C$57,'Narrative &amp; Measures'!$BV$28:$BV$67,"&lt;="&amp;R$321,'Narrative &amp; Measures'!$CD$28:$CD$67,"&gt;="&amp;S$321))</f>
        <v>0</v>
      </c>
      <c r="S357" s="375" cm="1">
        <f t="array" ref="S357">$B357-SUM(SUMIFS('Narrative &amp; Measures'!$L$28:$L$67,'Narrative &amp; Measures'!$A$28:$A$67,Alternatives!$C$38:$C$57,'Narrative &amp; Measures'!$BV$28:$BV$67,"&lt;="&amp;S$321,'Narrative &amp; Measures'!$CD$28:$CD$67,"&gt;="&amp;T$321))</f>
        <v>0</v>
      </c>
      <c r="T357" s="375" cm="1">
        <f t="array" ref="T357">$B357-SUM(SUMIFS('Narrative &amp; Measures'!$L$28:$L$67,'Narrative &amp; Measures'!$A$28:$A$67,Alternatives!$C$38:$C$57,'Narrative &amp; Measures'!$BV$28:$BV$67,"&lt;="&amp;T$321,'Narrative &amp; Measures'!$CD$28:$CD$67,"&gt;="&amp;U$321))</f>
        <v>0</v>
      </c>
      <c r="U357" s="375" cm="1">
        <f t="array" ref="U357">$B357-SUM(SUMIFS('Narrative &amp; Measures'!$L$28:$L$67,'Narrative &amp; Measures'!$A$28:$A$67,Alternatives!$C$38:$C$57,'Narrative &amp; Measures'!$BV$28:$BV$67,"&lt;="&amp;U$321,'Narrative &amp; Measures'!$CD$28:$CD$67,"&gt;="&amp;V$321))</f>
        <v>0</v>
      </c>
      <c r="V357" s="375" cm="1">
        <f t="array" ref="V357">$B357-SUM(SUMIFS('Narrative &amp; Measures'!$L$28:$L$67,'Narrative &amp; Measures'!$A$28:$A$67,Alternatives!$C$38:$C$57,'Narrative &amp; Measures'!$BV$28:$BV$67,"&lt;="&amp;V$321,'Narrative &amp; Measures'!$CD$28:$CD$67,"&gt;="&amp;W$321))</f>
        <v>0</v>
      </c>
    </row>
    <row r="358" spans="1:22" s="375" customFormat="1">
      <c r="A358" s="375" t="str">
        <f t="shared" si="207"/>
        <v>Alternative 2</v>
      </c>
      <c r="B358" s="375">
        <f>'Building Info &amp; Assumptions'!$B$351*'Building Info &amp; Assumptions'!$D$351</f>
        <v>0</v>
      </c>
      <c r="C358" s="375" cm="1">
        <f t="array" ref="C358">$B358-SUM(SUMIFS('Narrative &amp; Measures'!$L$28:$L$67,'Narrative &amp; Measures'!$A$28:$A$67,Alternatives!$C$63:$C$82,'Narrative &amp; Measures'!$BW$28:$BW$67,"&lt;="&amp;C$321,'Narrative &amp; Measures'!$CE$28:$CE$67,"&gt;="&amp;D$321))</f>
        <v>0</v>
      </c>
      <c r="D358" s="375" cm="1">
        <f t="array" ref="D358">$B358-SUM(SUMIFS('Narrative &amp; Measures'!$L$28:$L$67,'Narrative &amp; Measures'!$A$28:$A$67,Alternatives!$C$63:$C$82,'Narrative &amp; Measures'!$BW$28:$BW$67,"&lt;="&amp;D$321,'Narrative &amp; Measures'!$CE$28:$CE$67,"&gt;="&amp;E$321))</f>
        <v>0</v>
      </c>
      <c r="E358" s="375" cm="1">
        <f t="array" ref="E358">$B358-SUM(SUMIFS('Narrative &amp; Measures'!$L$28:$L$67,'Narrative &amp; Measures'!$A$28:$A$67,Alternatives!$C$63:$C$82,'Narrative &amp; Measures'!$BW$28:$BW$67,"&lt;="&amp;E$321,'Narrative &amp; Measures'!$CE$28:$CE$67,"&gt;="&amp;F$321))</f>
        <v>0</v>
      </c>
      <c r="F358" s="375" cm="1">
        <f t="array" ref="F358">$B358-SUM(SUMIFS('Narrative &amp; Measures'!$L$28:$L$67,'Narrative &amp; Measures'!$A$28:$A$67,Alternatives!$C$63:$C$82,'Narrative &amp; Measures'!$BW$28:$BW$67,"&lt;="&amp;F$321,'Narrative &amp; Measures'!$CE$28:$CE$67,"&gt;="&amp;G$321))</f>
        <v>0</v>
      </c>
      <c r="G358" s="375" cm="1">
        <f t="array" ref="G358">$B358-SUM(SUMIFS('Narrative &amp; Measures'!$L$28:$L$67,'Narrative &amp; Measures'!$A$28:$A$67,Alternatives!$C$63:$C$82,'Narrative &amp; Measures'!$BW$28:$BW$67,"&lt;="&amp;G$321,'Narrative &amp; Measures'!$CE$28:$CE$67,"&gt;="&amp;H$321))</f>
        <v>0</v>
      </c>
      <c r="H358" s="375" cm="1">
        <f t="array" ref="H358">$B358-SUM(SUMIFS('Narrative &amp; Measures'!$L$28:$L$67,'Narrative &amp; Measures'!$A$28:$A$67,Alternatives!$C$63:$C$82,'Narrative &amp; Measures'!$BW$28:$BW$67,"&lt;="&amp;H$321,'Narrative &amp; Measures'!$CE$28:$CE$67,"&gt;="&amp;I$321))</f>
        <v>0</v>
      </c>
      <c r="I358" s="375" cm="1">
        <f t="array" ref="I358">$B358-SUM(SUMIFS('Narrative &amp; Measures'!$L$28:$L$67,'Narrative &amp; Measures'!$A$28:$A$67,Alternatives!$C$63:$C$82,'Narrative &amp; Measures'!$BW$28:$BW$67,"&lt;="&amp;I$321,'Narrative &amp; Measures'!$CE$28:$CE$67,"&gt;="&amp;J$321))</f>
        <v>0</v>
      </c>
      <c r="J358" s="375" cm="1">
        <f t="array" ref="J358">$B358-SUM(SUMIFS('Narrative &amp; Measures'!$L$28:$L$67,'Narrative &amp; Measures'!$A$28:$A$67,Alternatives!$C$63:$C$82,'Narrative &amp; Measures'!$BW$28:$BW$67,"&lt;="&amp;J$321,'Narrative &amp; Measures'!$CE$28:$CE$67,"&gt;="&amp;K$321))</f>
        <v>0</v>
      </c>
      <c r="K358" s="375" cm="1">
        <f t="array" ref="K358">$B358-SUM(SUMIFS('Narrative &amp; Measures'!$L$28:$L$67,'Narrative &amp; Measures'!$A$28:$A$67,Alternatives!$C$63:$C$82,'Narrative &amp; Measures'!$BW$28:$BW$67,"&lt;="&amp;K$321,'Narrative &amp; Measures'!$CE$28:$CE$67,"&gt;="&amp;L$321))</f>
        <v>0</v>
      </c>
      <c r="L358" s="375" cm="1">
        <f t="array" ref="L358">$B358-SUM(SUMIFS('Narrative &amp; Measures'!$L$28:$L$67,'Narrative &amp; Measures'!$A$28:$A$67,Alternatives!$C$63:$C$82,'Narrative &amp; Measures'!$BW$28:$BW$67,"&lt;="&amp;L$321,'Narrative &amp; Measures'!$CE$28:$CE$67,"&gt;="&amp;M$321))</f>
        <v>0</v>
      </c>
      <c r="M358" s="375" cm="1">
        <f t="array" ref="M358">$B358-SUM(SUMIFS('Narrative &amp; Measures'!$L$28:$L$67,'Narrative &amp; Measures'!$A$28:$A$67,Alternatives!$C$63:$C$82,'Narrative &amp; Measures'!$BW$28:$BW$67,"&lt;="&amp;M$321,'Narrative &amp; Measures'!$CE$28:$CE$67,"&gt;="&amp;N$321))</f>
        <v>0</v>
      </c>
      <c r="N358" s="375" cm="1">
        <f t="array" ref="N358">$B358-SUM(SUMIFS('Narrative &amp; Measures'!$L$28:$L$67,'Narrative &amp; Measures'!$A$28:$A$67,Alternatives!$C$63:$C$82,'Narrative &amp; Measures'!$BW$28:$BW$67,"&lt;="&amp;N$321,'Narrative &amp; Measures'!$CE$28:$CE$67,"&gt;="&amp;O$321))</f>
        <v>0</v>
      </c>
      <c r="O358" s="375" cm="1">
        <f t="array" ref="O358">$B358-SUM(SUMIFS('Narrative &amp; Measures'!$L$28:$L$67,'Narrative &amp; Measures'!$A$28:$A$67,Alternatives!$C$63:$C$82,'Narrative &amp; Measures'!$BW$28:$BW$67,"&lt;="&amp;O$321,'Narrative &amp; Measures'!$CE$28:$CE$67,"&gt;="&amp;P$321))</f>
        <v>0</v>
      </c>
      <c r="P358" s="375" cm="1">
        <f t="array" ref="P358">$B358-SUM(SUMIFS('Narrative &amp; Measures'!$L$28:$L$67,'Narrative &amp; Measures'!$A$28:$A$67,Alternatives!$C$63:$C$82,'Narrative &amp; Measures'!$BW$28:$BW$67,"&lt;="&amp;P$321,'Narrative &amp; Measures'!$CE$28:$CE$67,"&gt;="&amp;Q$321))</f>
        <v>0</v>
      </c>
      <c r="Q358" s="375" cm="1">
        <f t="array" ref="Q358">$B358-SUM(SUMIFS('Narrative &amp; Measures'!$L$28:$L$67,'Narrative &amp; Measures'!$A$28:$A$67,Alternatives!$C$63:$C$82,'Narrative &amp; Measures'!$BW$28:$BW$67,"&lt;="&amp;Q$321,'Narrative &amp; Measures'!$CE$28:$CE$67,"&gt;="&amp;R$321))</f>
        <v>0</v>
      </c>
      <c r="R358" s="375" cm="1">
        <f t="array" ref="R358">$B358-SUM(SUMIFS('Narrative &amp; Measures'!$L$28:$L$67,'Narrative &amp; Measures'!$A$28:$A$67,Alternatives!$C$63:$C$82,'Narrative &amp; Measures'!$BW$28:$BW$67,"&lt;="&amp;R$321,'Narrative &amp; Measures'!$CE$28:$CE$67,"&gt;="&amp;S$321))</f>
        <v>0</v>
      </c>
      <c r="S358" s="375" cm="1">
        <f t="array" ref="S358">$B358-SUM(SUMIFS('Narrative &amp; Measures'!$L$28:$L$67,'Narrative &amp; Measures'!$A$28:$A$67,Alternatives!$C$63:$C$82,'Narrative &amp; Measures'!$BW$28:$BW$67,"&lt;="&amp;S$321,'Narrative &amp; Measures'!$CE$28:$CE$67,"&gt;="&amp;T$321))</f>
        <v>0</v>
      </c>
      <c r="T358" s="375" cm="1">
        <f t="array" ref="T358">$B358-SUM(SUMIFS('Narrative &amp; Measures'!$L$28:$L$67,'Narrative &amp; Measures'!$A$28:$A$67,Alternatives!$C$63:$C$82,'Narrative &amp; Measures'!$BW$28:$BW$67,"&lt;="&amp;T$321,'Narrative &amp; Measures'!$CE$28:$CE$67,"&gt;="&amp;U$321))</f>
        <v>0</v>
      </c>
      <c r="U358" s="375" cm="1">
        <f t="array" ref="U358">$B358-SUM(SUMIFS('Narrative &amp; Measures'!$L$28:$L$67,'Narrative &amp; Measures'!$A$28:$A$67,Alternatives!$C$63:$C$82,'Narrative &amp; Measures'!$BW$28:$BW$67,"&lt;="&amp;U$321,'Narrative &amp; Measures'!$CE$28:$CE$67,"&gt;="&amp;V$321))</f>
        <v>0</v>
      </c>
      <c r="V358" s="375" cm="1">
        <f t="array" ref="V358">$B358-SUM(SUMIFS('Narrative &amp; Measures'!$L$28:$L$67,'Narrative &amp; Measures'!$A$28:$A$67,Alternatives!$C$63:$C$82,'Narrative &amp; Measures'!$BW$28:$BW$67,"&lt;="&amp;V$321,'Narrative &amp; Measures'!$CE$28:$CE$67,"&gt;="&amp;W$321))</f>
        <v>0</v>
      </c>
    </row>
    <row r="359" spans="1:22" s="375" customFormat="1">
      <c r="A359" s="375" t="str">
        <f t="shared" si="207"/>
        <v>Alternative 3</v>
      </c>
      <c r="B359" s="375">
        <f>'Building Info &amp; Assumptions'!$B$351*'Building Info &amp; Assumptions'!$D$351</f>
        <v>0</v>
      </c>
      <c r="C359" s="375" cm="1">
        <f t="array" ref="C359">$B359-SUM(SUMIFS('Narrative &amp; Measures'!$L$28:$L$67,'Narrative &amp; Measures'!$A$28:$A$67,Alternatives!$C$88:$C$107,'Narrative &amp; Measures'!$BX$28:$BX$67,"&lt;="&amp;C$321,'Narrative &amp; Measures'!$CF$28:$CF$67,"&gt;="&amp;D$321))</f>
        <v>0</v>
      </c>
      <c r="D359" s="375" cm="1">
        <f t="array" ref="D359">$B359-SUM(SUMIFS('Narrative &amp; Measures'!$L$28:$L$67,'Narrative &amp; Measures'!$A$28:$A$67,Alternatives!$C$88:$C$107,'Narrative &amp; Measures'!$BX$28:$BX$67,"&lt;="&amp;D$321,'Narrative &amp; Measures'!$CF$28:$CF$67,"&gt;="&amp;E$321))</f>
        <v>0</v>
      </c>
      <c r="E359" s="375" cm="1">
        <f t="array" ref="E359">$B359-SUM(SUMIFS('Narrative &amp; Measures'!$L$28:$L$67,'Narrative &amp; Measures'!$A$28:$A$67,Alternatives!$C$88:$C$107,'Narrative &amp; Measures'!$BX$28:$BX$67,"&lt;="&amp;E$321,'Narrative &amp; Measures'!$CF$28:$CF$67,"&gt;="&amp;F$321))</f>
        <v>0</v>
      </c>
      <c r="F359" s="375" cm="1">
        <f t="array" ref="F359">$B359-SUM(SUMIFS('Narrative &amp; Measures'!$L$28:$L$67,'Narrative &amp; Measures'!$A$28:$A$67,Alternatives!$C$88:$C$107,'Narrative &amp; Measures'!$BX$28:$BX$67,"&lt;="&amp;F$321,'Narrative &amp; Measures'!$CF$28:$CF$67,"&gt;="&amp;G$321))</f>
        <v>0</v>
      </c>
      <c r="G359" s="375" cm="1">
        <f t="array" ref="G359">$B359-SUM(SUMIFS('Narrative &amp; Measures'!$L$28:$L$67,'Narrative &amp; Measures'!$A$28:$A$67,Alternatives!$C$88:$C$107,'Narrative &amp; Measures'!$BX$28:$BX$67,"&lt;="&amp;G$321,'Narrative &amp; Measures'!$CF$28:$CF$67,"&gt;="&amp;H$321))</f>
        <v>0</v>
      </c>
      <c r="H359" s="375" cm="1">
        <f t="array" ref="H359">$B359-SUM(SUMIFS('Narrative &amp; Measures'!$L$28:$L$67,'Narrative &amp; Measures'!$A$28:$A$67,Alternatives!$C$88:$C$107,'Narrative &amp; Measures'!$BX$28:$BX$67,"&lt;="&amp;H$321,'Narrative &amp; Measures'!$CF$28:$CF$67,"&gt;="&amp;I$321))</f>
        <v>0</v>
      </c>
      <c r="I359" s="375" cm="1">
        <f t="array" ref="I359">$B359-SUM(SUMIFS('Narrative &amp; Measures'!$L$28:$L$67,'Narrative &amp; Measures'!$A$28:$A$67,Alternatives!$C$88:$C$107,'Narrative &amp; Measures'!$BX$28:$BX$67,"&lt;="&amp;I$321,'Narrative &amp; Measures'!$CF$28:$CF$67,"&gt;="&amp;J$321))</f>
        <v>0</v>
      </c>
      <c r="J359" s="375" cm="1">
        <f t="array" ref="J359">$B359-SUM(SUMIFS('Narrative &amp; Measures'!$L$28:$L$67,'Narrative &amp; Measures'!$A$28:$A$67,Alternatives!$C$88:$C$107,'Narrative &amp; Measures'!$BX$28:$BX$67,"&lt;="&amp;J$321,'Narrative &amp; Measures'!$CF$28:$CF$67,"&gt;="&amp;K$321))</f>
        <v>0</v>
      </c>
      <c r="K359" s="375" cm="1">
        <f t="array" ref="K359">$B359-SUM(SUMIFS('Narrative &amp; Measures'!$L$28:$L$67,'Narrative &amp; Measures'!$A$28:$A$67,Alternatives!$C$88:$C$107,'Narrative &amp; Measures'!$BX$28:$BX$67,"&lt;="&amp;K$321,'Narrative &amp; Measures'!$CF$28:$CF$67,"&gt;="&amp;L$321))</f>
        <v>0</v>
      </c>
      <c r="L359" s="375" cm="1">
        <f t="array" ref="L359">$B359-SUM(SUMIFS('Narrative &amp; Measures'!$L$28:$L$67,'Narrative &amp; Measures'!$A$28:$A$67,Alternatives!$C$88:$C$107,'Narrative &amp; Measures'!$BX$28:$BX$67,"&lt;="&amp;L$321,'Narrative &amp; Measures'!$CF$28:$CF$67,"&gt;="&amp;M$321))</f>
        <v>0</v>
      </c>
      <c r="M359" s="375" cm="1">
        <f t="array" ref="M359">$B359-SUM(SUMIFS('Narrative &amp; Measures'!$L$28:$L$67,'Narrative &amp; Measures'!$A$28:$A$67,Alternatives!$C$88:$C$107,'Narrative &amp; Measures'!$BX$28:$BX$67,"&lt;="&amp;M$321,'Narrative &amp; Measures'!$CF$28:$CF$67,"&gt;="&amp;N$321))</f>
        <v>0</v>
      </c>
      <c r="N359" s="375" cm="1">
        <f t="array" ref="N359">$B359-SUM(SUMIFS('Narrative &amp; Measures'!$L$28:$L$67,'Narrative &amp; Measures'!$A$28:$A$67,Alternatives!$C$88:$C$107,'Narrative &amp; Measures'!$BX$28:$BX$67,"&lt;="&amp;N$321,'Narrative &amp; Measures'!$CF$28:$CF$67,"&gt;="&amp;O$321))</f>
        <v>0</v>
      </c>
      <c r="O359" s="375" cm="1">
        <f t="array" ref="O359">$B359-SUM(SUMIFS('Narrative &amp; Measures'!$L$28:$L$67,'Narrative &amp; Measures'!$A$28:$A$67,Alternatives!$C$88:$C$107,'Narrative &amp; Measures'!$BX$28:$BX$67,"&lt;="&amp;O$321,'Narrative &amp; Measures'!$CF$28:$CF$67,"&gt;="&amp;P$321))</f>
        <v>0</v>
      </c>
      <c r="P359" s="375" cm="1">
        <f t="array" ref="P359">$B359-SUM(SUMIFS('Narrative &amp; Measures'!$L$28:$L$67,'Narrative &amp; Measures'!$A$28:$A$67,Alternatives!$C$88:$C$107,'Narrative &amp; Measures'!$BX$28:$BX$67,"&lt;="&amp;P$321,'Narrative &amp; Measures'!$CF$28:$CF$67,"&gt;="&amp;Q$321))</f>
        <v>0</v>
      </c>
      <c r="Q359" s="375" cm="1">
        <f t="array" ref="Q359">$B359-SUM(SUMIFS('Narrative &amp; Measures'!$L$28:$L$67,'Narrative &amp; Measures'!$A$28:$A$67,Alternatives!$C$88:$C$107,'Narrative &amp; Measures'!$BX$28:$BX$67,"&lt;="&amp;Q$321,'Narrative &amp; Measures'!$CF$28:$CF$67,"&gt;="&amp;R$321))</f>
        <v>0</v>
      </c>
      <c r="R359" s="375" cm="1">
        <f t="array" ref="R359">$B359-SUM(SUMIFS('Narrative &amp; Measures'!$L$28:$L$67,'Narrative &amp; Measures'!$A$28:$A$67,Alternatives!$C$88:$C$107,'Narrative &amp; Measures'!$BX$28:$BX$67,"&lt;="&amp;R$321,'Narrative &amp; Measures'!$CF$28:$CF$67,"&gt;="&amp;S$321))</f>
        <v>0</v>
      </c>
      <c r="S359" s="375" cm="1">
        <f t="array" ref="S359">$B359-SUM(SUMIFS('Narrative &amp; Measures'!$L$28:$L$67,'Narrative &amp; Measures'!$A$28:$A$67,Alternatives!$C$88:$C$107,'Narrative &amp; Measures'!$BX$28:$BX$67,"&lt;="&amp;S$321,'Narrative &amp; Measures'!$CF$28:$CF$67,"&gt;="&amp;T$321))</f>
        <v>0</v>
      </c>
      <c r="T359" s="375" cm="1">
        <f t="array" ref="T359">$B359-SUM(SUMIFS('Narrative &amp; Measures'!$L$28:$L$67,'Narrative &amp; Measures'!$A$28:$A$67,Alternatives!$C$88:$C$107,'Narrative &amp; Measures'!$BX$28:$BX$67,"&lt;="&amp;T$321,'Narrative &amp; Measures'!$CF$28:$CF$67,"&gt;="&amp;U$321))</f>
        <v>0</v>
      </c>
      <c r="U359" s="375" cm="1">
        <f t="array" ref="U359">$B359-SUM(SUMIFS('Narrative &amp; Measures'!$L$28:$L$67,'Narrative &amp; Measures'!$A$28:$A$67,Alternatives!$C$88:$C$107,'Narrative &amp; Measures'!$BX$28:$BX$67,"&lt;="&amp;U$321,'Narrative &amp; Measures'!$CF$28:$CF$67,"&gt;="&amp;V$321))</f>
        <v>0</v>
      </c>
      <c r="V359" s="375" cm="1">
        <f t="array" ref="V359">$B359-SUM(SUMIFS('Narrative &amp; Measures'!$L$28:$L$67,'Narrative &amp; Measures'!$A$28:$A$67,Alternatives!$C$88:$C$107,'Narrative &amp; Measures'!$BX$28:$BX$67,"&lt;="&amp;V$321,'Narrative &amp; Measures'!$CF$28:$CF$67,"&gt;="&amp;W$321))</f>
        <v>0</v>
      </c>
    </row>
    <row r="360" spans="1:22" s="375" customFormat="1"/>
    <row r="361" spans="1:22" s="375" customFormat="1">
      <c r="A361" s="375" t="s">
        <v>622</v>
      </c>
    </row>
    <row r="362" spans="1:22" s="375" customFormat="1">
      <c r="A362" s="375" t="str">
        <f>A354</f>
        <v>Baseline Reactive (Cap Op St+IR DM)</v>
      </c>
      <c r="B362" s="375">
        <f>'Building Info &amp; Assumptions'!$B$352*'Building Info &amp; Assumptions'!$D$352</f>
        <v>0</v>
      </c>
      <c r="C362" s="375">
        <f>$B$362-IF(C$321&gt;=Alternatives!$I$16,SUMIFS('Narrative &amp; Measures'!$M$28:$M$67,'Narrative &amp; Measures'!$B$28:$B$67,"Deferred Maintenance",'Narrative &amp; Measures'!$T$28:$T$67,"&gt;="&amp;(D$321-Alternatives!$I$16)),0)-IF(C$321&gt;=Alternatives!$I$15,SUMIFS('Narrative &amp; Measures'!$M$28:$M$67,'Narrative &amp; Measures'!$B$28:$B$67,"Immediate Repairs: Life Safety &amp; Critical",'Narrative &amp; Measures'!$T$28:$T$67,"&gt;="&amp;(D$321-Alternatives!$I$16)),0)-IF(C$321&gt;=Alternatives!$I$20,'Equipment Inventory'!$BU$11,0)-IF(C$321&gt;=Alternatives!$I$21,'Equipment Inventory'!$BU$12,0)-IF(C$321&gt;=Alternatives!$I$22,'Equipment Inventory'!$BU$13,0)-IF(C$321&gt;=Alternatives!$I$23,'Equipment Inventory'!$BU$14,0)</f>
        <v>0</v>
      </c>
      <c r="D362" s="375">
        <f ca="1">$B$362-IF(D$321&gt;=Alternatives!$I$16,SUMIFS('Narrative &amp; Measures'!$M$28:$M$67,'Narrative &amp; Measures'!$B$28:$B$67,"Deferred Maintenance",'Narrative &amp; Measures'!$T$28:$T$67,"&gt;="&amp;(E$321-Alternatives!$I$16)),0)-IF(D$321&gt;=Alternatives!$I$15,SUMIFS('Narrative &amp; Measures'!$M$28:$M$67,'Narrative &amp; Measures'!$B$28:$B$67,"Immediate Repairs: Life Safety &amp; Critical",'Narrative &amp; Measures'!$T$28:$T$67,"&gt;="&amp;(E$321-Alternatives!$I$16)),0)-IF(D$321&gt;=Alternatives!$I$20,'Equipment Inventory'!$BU$11,0)-IF(D$321&gt;=Alternatives!$I$21,'Equipment Inventory'!$BU$12,0)-IF(D$321&gt;=Alternatives!$I$22,'Equipment Inventory'!$BU$13,0)-IF(D$321&gt;=Alternatives!$I$23,'Equipment Inventory'!$BU$14,0)</f>
        <v>0</v>
      </c>
      <c r="E362" s="375">
        <f ca="1">$B$362-IF(E$321&gt;=Alternatives!$I$16,SUMIFS('Narrative &amp; Measures'!$M$28:$M$67,'Narrative &amp; Measures'!$B$28:$B$67,"Deferred Maintenance",'Narrative &amp; Measures'!$T$28:$T$67,"&gt;="&amp;(F$321-Alternatives!$I$16)),0)-IF(E$321&gt;=Alternatives!$I$15,SUMIFS('Narrative &amp; Measures'!$M$28:$M$67,'Narrative &amp; Measures'!$B$28:$B$67,"Immediate Repairs: Life Safety &amp; Critical",'Narrative &amp; Measures'!$T$28:$T$67,"&gt;="&amp;(F$321-Alternatives!$I$16)),0)-IF(E$321&gt;=Alternatives!$I$20,'Equipment Inventory'!$BU$11,0)-IF(E$321&gt;=Alternatives!$I$21,'Equipment Inventory'!$BU$12,0)-IF(E$321&gt;=Alternatives!$I$22,'Equipment Inventory'!$BU$13,0)-IF(E$321&gt;=Alternatives!$I$23,'Equipment Inventory'!$BU$14,0)</f>
        <v>0</v>
      </c>
      <c r="F362" s="375">
        <f ca="1">$B$362-IF(F$321&gt;=Alternatives!$I$16,SUMIFS('Narrative &amp; Measures'!$M$28:$M$67,'Narrative &amp; Measures'!$B$28:$B$67,"Deferred Maintenance",'Narrative &amp; Measures'!$T$28:$T$67,"&gt;="&amp;(G$321-Alternatives!$I$16)),0)-IF(F$321&gt;=Alternatives!$I$15,SUMIFS('Narrative &amp; Measures'!$M$28:$M$67,'Narrative &amp; Measures'!$B$28:$B$67,"Immediate Repairs: Life Safety &amp; Critical",'Narrative &amp; Measures'!$T$28:$T$67,"&gt;="&amp;(G$321-Alternatives!$I$16)),0)-IF(F$321&gt;=Alternatives!$I$20,'Equipment Inventory'!$BU$11,0)-IF(F$321&gt;=Alternatives!$I$21,'Equipment Inventory'!$BU$12,0)-IF(F$321&gt;=Alternatives!$I$22,'Equipment Inventory'!$BU$13,0)-IF(F$321&gt;=Alternatives!$I$23,'Equipment Inventory'!$BU$14,0)</f>
        <v>0</v>
      </c>
      <c r="G362" s="375">
        <f ca="1">$B$362-IF(G$321&gt;=Alternatives!$I$16,SUMIFS('Narrative &amp; Measures'!$M$28:$M$67,'Narrative &amp; Measures'!$B$28:$B$67,"Deferred Maintenance",'Narrative &amp; Measures'!$T$28:$T$67,"&gt;="&amp;(H$321-Alternatives!$I$16)),0)-IF(G$321&gt;=Alternatives!$I$15,SUMIFS('Narrative &amp; Measures'!$M$28:$M$67,'Narrative &amp; Measures'!$B$28:$B$67,"Immediate Repairs: Life Safety &amp; Critical",'Narrative &amp; Measures'!$T$28:$T$67,"&gt;="&amp;(H$321-Alternatives!$I$16)),0)-IF(G$321&gt;=Alternatives!$I$20,'Equipment Inventory'!$BU$11,0)-IF(G$321&gt;=Alternatives!$I$21,'Equipment Inventory'!$BU$12,0)-IF(G$321&gt;=Alternatives!$I$22,'Equipment Inventory'!$BU$13,0)-IF(G$321&gt;=Alternatives!$I$23,'Equipment Inventory'!$BU$14,0)</f>
        <v>0</v>
      </c>
      <c r="H362" s="375">
        <f ca="1">$B$362-IF(H$321&gt;=Alternatives!$I$16,SUMIFS('Narrative &amp; Measures'!$M$28:$M$67,'Narrative &amp; Measures'!$B$28:$B$67,"Deferred Maintenance",'Narrative &amp; Measures'!$T$28:$T$67,"&gt;="&amp;(I$321-Alternatives!$I$16)),0)-IF(H$321&gt;=Alternatives!$I$15,SUMIFS('Narrative &amp; Measures'!$M$28:$M$67,'Narrative &amp; Measures'!$B$28:$B$67,"Immediate Repairs: Life Safety &amp; Critical",'Narrative &amp; Measures'!$T$28:$T$67,"&gt;="&amp;(I$321-Alternatives!$I$16)),0)-IF(H$321&gt;=Alternatives!$I$20,'Equipment Inventory'!$BU$11,0)-IF(H$321&gt;=Alternatives!$I$21,'Equipment Inventory'!$BU$12,0)-IF(H$321&gt;=Alternatives!$I$22,'Equipment Inventory'!$BU$13,0)-IF(H$321&gt;=Alternatives!$I$23,'Equipment Inventory'!$BU$14,0)</f>
        <v>0</v>
      </c>
      <c r="I362" s="375">
        <f ca="1">$B$362-IF(I$321&gt;=Alternatives!$I$16,SUMIFS('Narrative &amp; Measures'!$M$28:$M$67,'Narrative &amp; Measures'!$B$28:$B$67,"Deferred Maintenance",'Narrative &amp; Measures'!$T$28:$T$67,"&gt;="&amp;(J$321-Alternatives!$I$16)),0)-IF(I$321&gt;=Alternatives!$I$15,SUMIFS('Narrative &amp; Measures'!$M$28:$M$67,'Narrative &amp; Measures'!$B$28:$B$67,"Immediate Repairs: Life Safety &amp; Critical",'Narrative &amp; Measures'!$T$28:$T$67,"&gt;="&amp;(J$321-Alternatives!$I$16)),0)-IF(I$321&gt;=Alternatives!$I$20,'Equipment Inventory'!$BU$11,0)-IF(I$321&gt;=Alternatives!$I$21,'Equipment Inventory'!$BU$12,0)-IF(I$321&gt;=Alternatives!$I$22,'Equipment Inventory'!$BU$13,0)-IF(I$321&gt;=Alternatives!$I$23,'Equipment Inventory'!$BU$14,0)</f>
        <v>0</v>
      </c>
      <c r="J362" s="375">
        <f ca="1">$B$362-IF(J$321&gt;=Alternatives!$I$16,SUMIFS('Narrative &amp; Measures'!$M$28:$M$67,'Narrative &amp; Measures'!$B$28:$B$67,"Deferred Maintenance",'Narrative &amp; Measures'!$T$28:$T$67,"&gt;="&amp;(K$321-Alternatives!$I$16)),0)-IF(J$321&gt;=Alternatives!$I$15,SUMIFS('Narrative &amp; Measures'!$M$28:$M$67,'Narrative &amp; Measures'!$B$28:$B$67,"Immediate Repairs: Life Safety &amp; Critical",'Narrative &amp; Measures'!$T$28:$T$67,"&gt;="&amp;(K$321-Alternatives!$I$16)),0)-IF(J$321&gt;=Alternatives!$I$20,'Equipment Inventory'!$BU$11,0)-IF(J$321&gt;=Alternatives!$I$21,'Equipment Inventory'!$BU$12,0)-IF(J$321&gt;=Alternatives!$I$22,'Equipment Inventory'!$BU$13,0)-IF(J$321&gt;=Alternatives!$I$23,'Equipment Inventory'!$BU$14,0)</f>
        <v>0</v>
      </c>
      <c r="K362" s="375">
        <f ca="1">$B$362-IF(K$321&gt;=Alternatives!$I$16,SUMIFS('Narrative &amp; Measures'!$M$28:$M$67,'Narrative &amp; Measures'!$B$28:$B$67,"Deferred Maintenance",'Narrative &amp; Measures'!$T$28:$T$67,"&gt;="&amp;(L$321-Alternatives!$I$16)),0)-IF(K$321&gt;=Alternatives!$I$15,SUMIFS('Narrative &amp; Measures'!$M$28:$M$67,'Narrative &amp; Measures'!$B$28:$B$67,"Immediate Repairs: Life Safety &amp; Critical",'Narrative &amp; Measures'!$T$28:$T$67,"&gt;="&amp;(L$321-Alternatives!$I$16)),0)-IF(K$321&gt;=Alternatives!$I$20,'Equipment Inventory'!$BU$11,0)-IF(K$321&gt;=Alternatives!$I$21,'Equipment Inventory'!$BU$12,0)-IF(K$321&gt;=Alternatives!$I$22,'Equipment Inventory'!$BU$13,0)-IF(K$321&gt;=Alternatives!$I$23,'Equipment Inventory'!$BU$14,0)</f>
        <v>0</v>
      </c>
      <c r="L362" s="375">
        <f ca="1">$B$362-IF(L$321&gt;=Alternatives!$I$16,SUMIFS('Narrative &amp; Measures'!$M$28:$M$67,'Narrative &amp; Measures'!$B$28:$B$67,"Deferred Maintenance",'Narrative &amp; Measures'!$T$28:$T$67,"&gt;="&amp;(M$321-Alternatives!$I$16)),0)-IF(L$321&gt;=Alternatives!$I$15,SUMIFS('Narrative &amp; Measures'!$M$28:$M$67,'Narrative &amp; Measures'!$B$28:$B$67,"Immediate Repairs: Life Safety &amp; Critical",'Narrative &amp; Measures'!$T$28:$T$67,"&gt;="&amp;(M$321-Alternatives!$I$16)),0)-IF(L$321&gt;=Alternatives!$I$20,'Equipment Inventory'!$BU$11,0)-IF(L$321&gt;=Alternatives!$I$21,'Equipment Inventory'!$BU$12,0)-IF(L$321&gt;=Alternatives!$I$22,'Equipment Inventory'!$BU$13,0)-IF(L$321&gt;=Alternatives!$I$23,'Equipment Inventory'!$BU$14,0)</f>
        <v>0</v>
      </c>
      <c r="M362" s="375">
        <f ca="1">$B$362-IF(M$321&gt;=Alternatives!$I$16,SUMIFS('Narrative &amp; Measures'!$M$28:$M$67,'Narrative &amp; Measures'!$B$28:$B$67,"Deferred Maintenance",'Narrative &amp; Measures'!$T$28:$T$67,"&gt;="&amp;(N$321-Alternatives!$I$16)),0)-IF(M$321&gt;=Alternatives!$I$15,SUMIFS('Narrative &amp; Measures'!$M$28:$M$67,'Narrative &amp; Measures'!$B$28:$B$67,"Immediate Repairs: Life Safety &amp; Critical",'Narrative &amp; Measures'!$T$28:$T$67,"&gt;="&amp;(N$321-Alternatives!$I$16)),0)-IF(M$321&gt;=Alternatives!$I$20,'Equipment Inventory'!$BU$11,0)-IF(M$321&gt;=Alternatives!$I$21,'Equipment Inventory'!$BU$12,0)-IF(M$321&gt;=Alternatives!$I$22,'Equipment Inventory'!$BU$13,0)-IF(M$321&gt;=Alternatives!$I$23,'Equipment Inventory'!$BU$14,0)</f>
        <v>0</v>
      </c>
      <c r="N362" s="375">
        <f ca="1">$B$362-IF(N$321&gt;=Alternatives!$I$16,SUMIFS('Narrative &amp; Measures'!$M$28:$M$67,'Narrative &amp; Measures'!$B$28:$B$67,"Deferred Maintenance",'Narrative &amp; Measures'!$T$28:$T$67,"&gt;="&amp;(O$321-Alternatives!$I$16)),0)-IF(N$321&gt;=Alternatives!$I$15,SUMIFS('Narrative &amp; Measures'!$M$28:$M$67,'Narrative &amp; Measures'!$B$28:$B$67,"Immediate Repairs: Life Safety &amp; Critical",'Narrative &amp; Measures'!$T$28:$T$67,"&gt;="&amp;(O$321-Alternatives!$I$16)),0)-IF(N$321&gt;=Alternatives!$I$20,'Equipment Inventory'!$BU$11,0)-IF(N$321&gt;=Alternatives!$I$21,'Equipment Inventory'!$BU$12,0)-IF(N$321&gt;=Alternatives!$I$22,'Equipment Inventory'!$BU$13,0)-IF(N$321&gt;=Alternatives!$I$23,'Equipment Inventory'!$BU$14,0)</f>
        <v>0</v>
      </c>
      <c r="O362" s="375">
        <f ca="1">$B$362-IF(O$321&gt;=Alternatives!$I$16,SUMIFS('Narrative &amp; Measures'!$M$28:$M$67,'Narrative &amp; Measures'!$B$28:$B$67,"Deferred Maintenance",'Narrative &amp; Measures'!$T$28:$T$67,"&gt;="&amp;(P$321-Alternatives!$I$16)),0)-IF(O$321&gt;=Alternatives!$I$15,SUMIFS('Narrative &amp; Measures'!$M$28:$M$67,'Narrative &amp; Measures'!$B$28:$B$67,"Immediate Repairs: Life Safety &amp; Critical",'Narrative &amp; Measures'!$T$28:$T$67,"&gt;="&amp;(P$321-Alternatives!$I$16)),0)-IF(O$321&gt;=Alternatives!$I$20,'Equipment Inventory'!$BU$11,0)-IF(O$321&gt;=Alternatives!$I$21,'Equipment Inventory'!$BU$12,0)-IF(O$321&gt;=Alternatives!$I$22,'Equipment Inventory'!$BU$13,0)-IF(O$321&gt;=Alternatives!$I$23,'Equipment Inventory'!$BU$14,0)</f>
        <v>0</v>
      </c>
      <c r="P362" s="375">
        <f ca="1">$B$362-IF(P$321&gt;=Alternatives!$I$16,SUMIFS('Narrative &amp; Measures'!$M$28:$M$67,'Narrative &amp; Measures'!$B$28:$B$67,"Deferred Maintenance",'Narrative &amp; Measures'!$T$28:$T$67,"&gt;="&amp;(Q$321-Alternatives!$I$16)),0)-IF(P$321&gt;=Alternatives!$I$15,SUMIFS('Narrative &amp; Measures'!$M$28:$M$67,'Narrative &amp; Measures'!$B$28:$B$67,"Immediate Repairs: Life Safety &amp; Critical",'Narrative &amp; Measures'!$T$28:$T$67,"&gt;="&amp;(Q$321-Alternatives!$I$16)),0)-IF(P$321&gt;=Alternatives!$I$20,'Equipment Inventory'!$BU$11,0)-IF(P$321&gt;=Alternatives!$I$21,'Equipment Inventory'!$BU$12,0)-IF(P$321&gt;=Alternatives!$I$22,'Equipment Inventory'!$BU$13,0)-IF(P$321&gt;=Alternatives!$I$23,'Equipment Inventory'!$BU$14,0)</f>
        <v>0</v>
      </c>
      <c r="Q362" s="375">
        <f ca="1">$B$362-IF(Q$321&gt;=Alternatives!$I$16,SUMIFS('Narrative &amp; Measures'!$M$28:$M$67,'Narrative &amp; Measures'!$B$28:$B$67,"Deferred Maintenance",'Narrative &amp; Measures'!$T$28:$T$67,"&gt;="&amp;(R$321-Alternatives!$I$16)),0)-IF(Q$321&gt;=Alternatives!$I$15,SUMIFS('Narrative &amp; Measures'!$M$28:$M$67,'Narrative &amp; Measures'!$B$28:$B$67,"Immediate Repairs: Life Safety &amp; Critical",'Narrative &amp; Measures'!$T$28:$T$67,"&gt;="&amp;(R$321-Alternatives!$I$16)),0)-IF(Q$321&gt;=Alternatives!$I$20,'Equipment Inventory'!$BU$11,0)-IF(Q$321&gt;=Alternatives!$I$21,'Equipment Inventory'!$BU$12,0)-IF(Q$321&gt;=Alternatives!$I$22,'Equipment Inventory'!$BU$13,0)-IF(Q$321&gt;=Alternatives!$I$23,'Equipment Inventory'!$BU$14,0)</f>
        <v>0</v>
      </c>
      <c r="R362" s="375">
        <f ca="1">$B$362-IF(R$321&gt;=Alternatives!$I$16,SUMIFS('Narrative &amp; Measures'!$M$28:$M$67,'Narrative &amp; Measures'!$B$28:$B$67,"Deferred Maintenance",'Narrative &amp; Measures'!$T$28:$T$67,"&gt;="&amp;(S$321-Alternatives!$I$16)),0)-IF(R$321&gt;=Alternatives!$I$15,SUMIFS('Narrative &amp; Measures'!$M$28:$M$67,'Narrative &amp; Measures'!$B$28:$B$67,"Immediate Repairs: Life Safety &amp; Critical",'Narrative &amp; Measures'!$T$28:$T$67,"&gt;="&amp;(S$321-Alternatives!$I$16)),0)-IF(R$321&gt;=Alternatives!$I$20,'Equipment Inventory'!$BU$11,0)-IF(R$321&gt;=Alternatives!$I$21,'Equipment Inventory'!$BU$12,0)-IF(R$321&gt;=Alternatives!$I$22,'Equipment Inventory'!$BU$13,0)-IF(R$321&gt;=Alternatives!$I$23,'Equipment Inventory'!$BU$14,0)</f>
        <v>0</v>
      </c>
      <c r="S362" s="375">
        <f ca="1">$B$362-IF(S$321&gt;=Alternatives!$I$16,SUMIFS('Narrative &amp; Measures'!$M$28:$M$67,'Narrative &amp; Measures'!$B$28:$B$67,"Deferred Maintenance",'Narrative &amp; Measures'!$T$28:$T$67,"&gt;="&amp;(T$321-Alternatives!$I$16)),0)-IF(S$321&gt;=Alternatives!$I$15,SUMIFS('Narrative &amp; Measures'!$M$28:$M$67,'Narrative &amp; Measures'!$B$28:$B$67,"Immediate Repairs: Life Safety &amp; Critical",'Narrative &amp; Measures'!$T$28:$T$67,"&gt;="&amp;(T$321-Alternatives!$I$16)),0)-IF(S$321&gt;=Alternatives!$I$20,'Equipment Inventory'!$BU$11,0)-IF(S$321&gt;=Alternatives!$I$21,'Equipment Inventory'!$BU$12,0)-IF(S$321&gt;=Alternatives!$I$22,'Equipment Inventory'!$BU$13,0)-IF(S$321&gt;=Alternatives!$I$23,'Equipment Inventory'!$BU$14,0)</f>
        <v>0</v>
      </c>
      <c r="T362" s="375">
        <f ca="1">$B$362-IF(T$321&gt;=Alternatives!$I$16,SUMIFS('Narrative &amp; Measures'!$M$28:$M$67,'Narrative &amp; Measures'!$B$28:$B$67,"Deferred Maintenance",'Narrative &amp; Measures'!$T$28:$T$67,"&gt;="&amp;(U$321-Alternatives!$I$16)),0)-IF(T$321&gt;=Alternatives!$I$15,SUMIFS('Narrative &amp; Measures'!$M$28:$M$67,'Narrative &amp; Measures'!$B$28:$B$67,"Immediate Repairs: Life Safety &amp; Critical",'Narrative &amp; Measures'!$T$28:$T$67,"&gt;="&amp;(U$321-Alternatives!$I$16)),0)-IF(T$321&gt;=Alternatives!$I$20,'Equipment Inventory'!$BU$11,0)-IF(T$321&gt;=Alternatives!$I$21,'Equipment Inventory'!$BU$12,0)-IF(T$321&gt;=Alternatives!$I$22,'Equipment Inventory'!$BU$13,0)-IF(T$321&gt;=Alternatives!$I$23,'Equipment Inventory'!$BU$14,0)</f>
        <v>0</v>
      </c>
      <c r="U362" s="375">
        <f ca="1">$B$362-IF(U$321&gt;=Alternatives!$I$16,SUMIFS('Narrative &amp; Measures'!$M$28:$M$67,'Narrative &amp; Measures'!$B$28:$B$67,"Deferred Maintenance",'Narrative &amp; Measures'!$T$28:$T$67,"&gt;="&amp;(V$321-Alternatives!$I$16)),0)-IF(U$321&gt;=Alternatives!$I$15,SUMIFS('Narrative &amp; Measures'!$M$28:$M$67,'Narrative &amp; Measures'!$B$28:$B$67,"Immediate Repairs: Life Safety &amp; Critical",'Narrative &amp; Measures'!$T$28:$T$67,"&gt;="&amp;(V$321-Alternatives!$I$16)),0)-IF(U$321&gt;=Alternatives!$I$20,'Equipment Inventory'!$BU$11,0)-IF(U$321&gt;=Alternatives!$I$21,'Equipment Inventory'!$BU$12,0)-IF(U$321&gt;=Alternatives!$I$22,'Equipment Inventory'!$BU$13,0)-IF(U$321&gt;=Alternatives!$I$23,'Equipment Inventory'!$BU$14,0)</f>
        <v>0</v>
      </c>
      <c r="V362" s="375">
        <f ca="1">$B$362-IF(V$321&gt;=Alternatives!$I$16,SUMIFS('Narrative &amp; Measures'!$M$28:$M$67,'Narrative &amp; Measures'!$B$28:$B$67,"Deferred Maintenance",'Narrative &amp; Measures'!$T$28:$T$67,"&gt;="&amp;(W$321-Alternatives!$I$16)),0)-IF(V$321&gt;=Alternatives!$I$15,SUMIFS('Narrative &amp; Measures'!$M$28:$M$67,'Narrative &amp; Measures'!$B$28:$B$67,"Immediate Repairs: Life Safety &amp; Critical",'Narrative &amp; Measures'!$T$28:$T$67,"&gt;="&amp;(W$321-Alternatives!$I$16)),0)-IF(V$321&gt;=Alternatives!$I$20,'Equipment Inventory'!$BU$11,0)-IF(V$321&gt;=Alternatives!$I$21,'Equipment Inventory'!$BU$12,0)-IF(V$321&gt;=Alternatives!$I$22,'Equipment Inventory'!$BU$13,0)-IF(V$321&gt;=Alternatives!$I$23,'Equipment Inventory'!$BU$14,0)</f>
        <v>0</v>
      </c>
    </row>
    <row r="363" spans="1:22" s="375" customFormat="1">
      <c r="A363" s="375" t="str">
        <f t="shared" ref="A363:A367" si="209">A355</f>
        <v>Baseline - Reactive Fines</v>
      </c>
      <c r="B363" s="375">
        <f>'Building Info &amp; Assumptions'!$B$352*'Building Info &amp; Assumptions'!$D$352</f>
        <v>0</v>
      </c>
      <c r="C363" s="375">
        <f>C362</f>
        <v>0</v>
      </c>
      <c r="D363" s="375">
        <f t="shared" ref="D363:V364" ca="1" si="210">D362</f>
        <v>0</v>
      </c>
      <c r="E363" s="375">
        <f t="shared" ca="1" si="210"/>
        <v>0</v>
      </c>
      <c r="F363" s="375">
        <f t="shared" ca="1" si="210"/>
        <v>0</v>
      </c>
      <c r="G363" s="375">
        <f t="shared" ca="1" si="210"/>
        <v>0</v>
      </c>
      <c r="H363" s="375">
        <f t="shared" ca="1" si="210"/>
        <v>0</v>
      </c>
      <c r="I363" s="375">
        <f t="shared" ca="1" si="210"/>
        <v>0</v>
      </c>
      <c r="J363" s="375">
        <f t="shared" ca="1" si="210"/>
        <v>0</v>
      </c>
      <c r="K363" s="375">
        <f t="shared" ca="1" si="210"/>
        <v>0</v>
      </c>
      <c r="L363" s="375">
        <f t="shared" ca="1" si="210"/>
        <v>0</v>
      </c>
      <c r="M363" s="375">
        <f t="shared" ca="1" si="210"/>
        <v>0</v>
      </c>
      <c r="N363" s="375">
        <f t="shared" ca="1" si="210"/>
        <v>0</v>
      </c>
      <c r="O363" s="375">
        <f t="shared" ca="1" si="210"/>
        <v>0</v>
      </c>
      <c r="P363" s="375">
        <f t="shared" ca="1" si="210"/>
        <v>0</v>
      </c>
      <c r="Q363" s="375">
        <f t="shared" ca="1" si="210"/>
        <v>0</v>
      </c>
      <c r="R363" s="375">
        <f t="shared" ca="1" si="210"/>
        <v>0</v>
      </c>
      <c r="S363" s="375">
        <f t="shared" ca="1" si="210"/>
        <v>0</v>
      </c>
      <c r="T363" s="375">
        <f t="shared" ca="1" si="210"/>
        <v>0</v>
      </c>
      <c r="U363" s="375">
        <f t="shared" ca="1" si="210"/>
        <v>0</v>
      </c>
      <c r="V363" s="375">
        <f t="shared" ca="1" si="210"/>
        <v>0</v>
      </c>
    </row>
    <row r="364" spans="1:22" s="375" customFormat="1">
      <c r="A364" s="375" t="str">
        <f t="shared" si="209"/>
        <v>Baseline - Offset Based Compliance</v>
      </c>
      <c r="B364" s="375">
        <f>'Building Info &amp; Assumptions'!$B$352*'Building Info &amp; Assumptions'!$D$352</f>
        <v>0</v>
      </c>
      <c r="C364" s="375">
        <f>C363</f>
        <v>0</v>
      </c>
      <c r="D364" s="375">
        <f t="shared" ca="1" si="210"/>
        <v>0</v>
      </c>
      <c r="E364" s="375">
        <f t="shared" ca="1" si="210"/>
        <v>0</v>
      </c>
      <c r="F364" s="375">
        <f t="shared" ca="1" si="210"/>
        <v>0</v>
      </c>
      <c r="G364" s="375">
        <f t="shared" ca="1" si="210"/>
        <v>0</v>
      </c>
      <c r="H364" s="375">
        <f t="shared" ca="1" si="210"/>
        <v>0</v>
      </c>
      <c r="I364" s="375">
        <f t="shared" ca="1" si="210"/>
        <v>0</v>
      </c>
      <c r="J364" s="375">
        <f t="shared" ca="1" si="210"/>
        <v>0</v>
      </c>
      <c r="K364" s="375">
        <f t="shared" ca="1" si="210"/>
        <v>0</v>
      </c>
      <c r="L364" s="375">
        <f t="shared" ca="1" si="210"/>
        <v>0</v>
      </c>
      <c r="M364" s="375">
        <f t="shared" ca="1" si="210"/>
        <v>0</v>
      </c>
      <c r="N364" s="375">
        <f t="shared" ca="1" si="210"/>
        <v>0</v>
      </c>
      <c r="O364" s="375">
        <f t="shared" ca="1" si="210"/>
        <v>0</v>
      </c>
      <c r="P364" s="375">
        <f t="shared" ca="1" si="210"/>
        <v>0</v>
      </c>
      <c r="Q364" s="375">
        <f t="shared" ca="1" si="210"/>
        <v>0</v>
      </c>
      <c r="R364" s="375">
        <f t="shared" ca="1" si="210"/>
        <v>0</v>
      </c>
      <c r="S364" s="375">
        <f t="shared" ca="1" si="210"/>
        <v>0</v>
      </c>
      <c r="T364" s="375">
        <f t="shared" ca="1" si="210"/>
        <v>0</v>
      </c>
      <c r="U364" s="375">
        <f t="shared" ca="1" si="210"/>
        <v>0</v>
      </c>
      <c r="V364" s="375">
        <f t="shared" ca="1" si="210"/>
        <v>0</v>
      </c>
    </row>
    <row r="365" spans="1:22" s="375" customFormat="1">
      <c r="A365" s="375" t="str">
        <f t="shared" si="209"/>
        <v>Alternative 1</v>
      </c>
      <c r="B365" s="375">
        <f>'Building Info &amp; Assumptions'!$B$352*'Building Info &amp; Assumptions'!$D$352</f>
        <v>0</v>
      </c>
      <c r="C365" s="375" cm="1">
        <f t="array" ref="C365">$B365-SUM(SUMIFS('Narrative &amp; Measures'!$M$28:$M$67,'Narrative &amp; Measures'!$A$28:$A$67,Alternatives!$C$38:$C$57,'Narrative &amp; Measures'!$BV$28:$BV$67,"&lt;="&amp;C$321,'Narrative &amp; Measures'!$CD$28:$CD$67,"&gt;="&amp;D$321))</f>
        <v>0</v>
      </c>
      <c r="D365" s="375" cm="1">
        <f t="array" ref="D365">$B365-SUM(SUMIFS('Narrative &amp; Measures'!$M$28:$M$67,'Narrative &amp; Measures'!$A$28:$A$67,Alternatives!$C$38:$C$57,'Narrative &amp; Measures'!$BV$28:$BV$67,"&lt;="&amp;D$321,'Narrative &amp; Measures'!$CD$28:$CD$67,"&gt;="&amp;E$321))</f>
        <v>0</v>
      </c>
      <c r="E365" s="375" cm="1">
        <f t="array" ref="E365">$B365-SUM(SUMIFS('Narrative &amp; Measures'!$M$28:$M$67,'Narrative &amp; Measures'!$A$28:$A$67,Alternatives!$C$38:$C$57,'Narrative &amp; Measures'!$BV$28:$BV$67,"&lt;="&amp;E$321,'Narrative &amp; Measures'!$CD$28:$CD$67,"&gt;="&amp;F$321))</f>
        <v>0</v>
      </c>
      <c r="F365" s="375" cm="1">
        <f t="array" ref="F365">$B365-SUM(SUMIFS('Narrative &amp; Measures'!$M$28:$M$67,'Narrative &amp; Measures'!$A$28:$A$67,Alternatives!$C$38:$C$57,'Narrative &amp; Measures'!$BV$28:$BV$67,"&lt;="&amp;F$321,'Narrative &amp; Measures'!$CD$28:$CD$67,"&gt;="&amp;G$321))</f>
        <v>0</v>
      </c>
      <c r="G365" s="375" cm="1">
        <f t="array" ref="G365">$B365-SUM(SUMIFS('Narrative &amp; Measures'!$M$28:$M$67,'Narrative &amp; Measures'!$A$28:$A$67,Alternatives!$C$38:$C$57,'Narrative &amp; Measures'!$BV$28:$BV$67,"&lt;="&amp;G$321,'Narrative &amp; Measures'!$CD$28:$CD$67,"&gt;="&amp;H$321))</f>
        <v>0</v>
      </c>
      <c r="H365" s="375" cm="1">
        <f t="array" ref="H365">$B365-SUM(SUMIFS('Narrative &amp; Measures'!$M$28:$M$67,'Narrative &amp; Measures'!$A$28:$A$67,Alternatives!$C$38:$C$57,'Narrative &amp; Measures'!$BV$28:$BV$67,"&lt;="&amp;H$321,'Narrative &amp; Measures'!$CD$28:$CD$67,"&gt;="&amp;I$321))</f>
        <v>0</v>
      </c>
      <c r="I365" s="375" cm="1">
        <f t="array" ref="I365">$B365-SUM(SUMIFS('Narrative &amp; Measures'!$M$28:$M$67,'Narrative &amp; Measures'!$A$28:$A$67,Alternatives!$C$38:$C$57,'Narrative &amp; Measures'!$BV$28:$BV$67,"&lt;="&amp;I$321,'Narrative &amp; Measures'!$CD$28:$CD$67,"&gt;="&amp;J$321))</f>
        <v>0</v>
      </c>
      <c r="J365" s="375" cm="1">
        <f t="array" ref="J365">$B365-SUM(SUMIFS('Narrative &amp; Measures'!$M$28:$M$67,'Narrative &amp; Measures'!$A$28:$A$67,Alternatives!$C$38:$C$57,'Narrative &amp; Measures'!$BV$28:$BV$67,"&lt;="&amp;J$321,'Narrative &amp; Measures'!$CD$28:$CD$67,"&gt;="&amp;K$321))</f>
        <v>0</v>
      </c>
      <c r="K365" s="375" cm="1">
        <f t="array" ref="K365">$B365-SUM(SUMIFS('Narrative &amp; Measures'!$M$28:$M$67,'Narrative &amp; Measures'!$A$28:$A$67,Alternatives!$C$38:$C$57,'Narrative &amp; Measures'!$BV$28:$BV$67,"&lt;="&amp;K$321,'Narrative &amp; Measures'!$CD$28:$CD$67,"&gt;="&amp;L$321))</f>
        <v>0</v>
      </c>
      <c r="L365" s="375" cm="1">
        <f t="array" ref="L365">$B365-SUM(SUMIFS('Narrative &amp; Measures'!$M$28:$M$67,'Narrative &amp; Measures'!$A$28:$A$67,Alternatives!$C$38:$C$57,'Narrative &amp; Measures'!$BV$28:$BV$67,"&lt;="&amp;L$321,'Narrative &amp; Measures'!$CD$28:$CD$67,"&gt;="&amp;M$321))</f>
        <v>0</v>
      </c>
      <c r="M365" s="375" cm="1">
        <f t="array" ref="M365">$B365-SUM(SUMIFS('Narrative &amp; Measures'!$M$28:$M$67,'Narrative &amp; Measures'!$A$28:$A$67,Alternatives!$C$38:$C$57,'Narrative &amp; Measures'!$BV$28:$BV$67,"&lt;="&amp;M$321,'Narrative &amp; Measures'!$CD$28:$CD$67,"&gt;="&amp;N$321))</f>
        <v>0</v>
      </c>
      <c r="N365" s="375" cm="1">
        <f t="array" ref="N365">$B365-SUM(SUMIFS('Narrative &amp; Measures'!$M$28:$M$67,'Narrative &amp; Measures'!$A$28:$A$67,Alternatives!$C$38:$C$57,'Narrative &amp; Measures'!$BV$28:$BV$67,"&lt;="&amp;N$321,'Narrative &amp; Measures'!$CD$28:$CD$67,"&gt;="&amp;O$321))</f>
        <v>0</v>
      </c>
      <c r="O365" s="375" cm="1">
        <f t="array" ref="O365">$B365-SUM(SUMIFS('Narrative &amp; Measures'!$M$28:$M$67,'Narrative &amp; Measures'!$A$28:$A$67,Alternatives!$C$38:$C$57,'Narrative &amp; Measures'!$BV$28:$BV$67,"&lt;="&amp;O$321,'Narrative &amp; Measures'!$CD$28:$CD$67,"&gt;="&amp;P$321))</f>
        <v>0</v>
      </c>
      <c r="P365" s="375" cm="1">
        <f t="array" ref="P365">$B365-SUM(SUMIFS('Narrative &amp; Measures'!$M$28:$M$67,'Narrative &amp; Measures'!$A$28:$A$67,Alternatives!$C$38:$C$57,'Narrative &amp; Measures'!$BV$28:$BV$67,"&lt;="&amp;P$321,'Narrative &amp; Measures'!$CD$28:$CD$67,"&gt;="&amp;Q$321))</f>
        <v>0</v>
      </c>
      <c r="Q365" s="375" cm="1">
        <f t="array" ref="Q365">$B365-SUM(SUMIFS('Narrative &amp; Measures'!$M$28:$M$67,'Narrative &amp; Measures'!$A$28:$A$67,Alternatives!$C$38:$C$57,'Narrative &amp; Measures'!$BV$28:$BV$67,"&lt;="&amp;Q$321,'Narrative &amp; Measures'!$CD$28:$CD$67,"&gt;="&amp;R$321))</f>
        <v>0</v>
      </c>
      <c r="R365" s="375" cm="1">
        <f t="array" ref="R365">$B365-SUM(SUMIFS('Narrative &amp; Measures'!$M$28:$M$67,'Narrative &amp; Measures'!$A$28:$A$67,Alternatives!$C$38:$C$57,'Narrative &amp; Measures'!$BV$28:$BV$67,"&lt;="&amp;R$321,'Narrative &amp; Measures'!$CD$28:$CD$67,"&gt;="&amp;S$321))</f>
        <v>0</v>
      </c>
      <c r="S365" s="375" cm="1">
        <f t="array" ref="S365">$B365-SUM(SUMIFS('Narrative &amp; Measures'!$M$28:$M$67,'Narrative &amp; Measures'!$A$28:$A$67,Alternatives!$C$38:$C$57,'Narrative &amp; Measures'!$BV$28:$BV$67,"&lt;="&amp;S$321,'Narrative &amp; Measures'!$CD$28:$CD$67,"&gt;="&amp;T$321))</f>
        <v>0</v>
      </c>
      <c r="T365" s="375" cm="1">
        <f t="array" ref="T365">$B365-SUM(SUMIFS('Narrative &amp; Measures'!$M$28:$M$67,'Narrative &amp; Measures'!$A$28:$A$67,Alternatives!$C$38:$C$57,'Narrative &amp; Measures'!$BV$28:$BV$67,"&lt;="&amp;T$321,'Narrative &amp; Measures'!$CD$28:$CD$67,"&gt;="&amp;U$321))</f>
        <v>0</v>
      </c>
      <c r="U365" s="375" cm="1">
        <f t="array" ref="U365">$B365-SUM(SUMIFS('Narrative &amp; Measures'!$M$28:$M$67,'Narrative &amp; Measures'!$A$28:$A$67,Alternatives!$C$38:$C$57,'Narrative &amp; Measures'!$BV$28:$BV$67,"&lt;="&amp;U$321,'Narrative &amp; Measures'!$CD$28:$CD$67,"&gt;="&amp;V$321))</f>
        <v>0</v>
      </c>
      <c r="V365" s="375" cm="1">
        <f t="array" ref="V365">$B365-SUM(SUMIFS('Narrative &amp; Measures'!$M$28:$M$67,'Narrative &amp; Measures'!$A$28:$A$67,Alternatives!$C$38:$C$57,'Narrative &amp; Measures'!$BV$28:$BV$67,"&lt;="&amp;V$321,'Narrative &amp; Measures'!$CD$28:$CD$67,"&gt;="&amp;W$321))</f>
        <v>0</v>
      </c>
    </row>
    <row r="366" spans="1:22" s="375" customFormat="1">
      <c r="A366" s="375" t="str">
        <f t="shared" si="209"/>
        <v>Alternative 2</v>
      </c>
      <c r="B366" s="375">
        <f>'Building Info &amp; Assumptions'!$B$352*'Building Info &amp; Assumptions'!$D$352</f>
        <v>0</v>
      </c>
      <c r="C366" s="375" cm="1">
        <f t="array" ref="C366">$B366-SUM(SUMIFS('Narrative &amp; Measures'!$M$28:$M$67,'Narrative &amp; Measures'!$A$28:$A$67,Alternatives!$C$63:$C$82,'Narrative &amp; Measures'!$BW$28:$BW$67,"&lt;="&amp;C$321,'Narrative &amp; Measures'!$CE$28:$CE$67,"&gt;="&amp;D$321))</f>
        <v>0</v>
      </c>
      <c r="D366" s="375" cm="1">
        <f t="array" ref="D366">$B366-SUM(SUMIFS('Narrative &amp; Measures'!$M$28:$M$67,'Narrative &amp; Measures'!$A$28:$A$67,Alternatives!$C$63:$C$82,'Narrative &amp; Measures'!$BW$28:$BW$67,"&lt;="&amp;D$321,'Narrative &amp; Measures'!$CE$28:$CE$67,"&gt;="&amp;E$321))</f>
        <v>0</v>
      </c>
      <c r="E366" s="375" cm="1">
        <f t="array" ref="E366">$B366-SUM(SUMIFS('Narrative &amp; Measures'!$M$28:$M$67,'Narrative &amp; Measures'!$A$28:$A$67,Alternatives!$C$63:$C$82,'Narrative &amp; Measures'!$BW$28:$BW$67,"&lt;="&amp;E$321,'Narrative &amp; Measures'!$CE$28:$CE$67,"&gt;="&amp;F$321))</f>
        <v>0</v>
      </c>
      <c r="F366" s="375" cm="1">
        <f t="array" ref="F366">$B366-SUM(SUMIFS('Narrative &amp; Measures'!$M$28:$M$67,'Narrative &amp; Measures'!$A$28:$A$67,Alternatives!$C$63:$C$82,'Narrative &amp; Measures'!$BW$28:$BW$67,"&lt;="&amp;F$321,'Narrative &amp; Measures'!$CE$28:$CE$67,"&gt;="&amp;G$321))</f>
        <v>0</v>
      </c>
      <c r="G366" s="375" cm="1">
        <f t="array" ref="G366">$B366-SUM(SUMIFS('Narrative &amp; Measures'!$M$28:$M$67,'Narrative &amp; Measures'!$A$28:$A$67,Alternatives!$C$63:$C$82,'Narrative &amp; Measures'!$BW$28:$BW$67,"&lt;="&amp;G$321,'Narrative &amp; Measures'!$CE$28:$CE$67,"&gt;="&amp;H$321))</f>
        <v>0</v>
      </c>
      <c r="H366" s="375" cm="1">
        <f t="array" ref="H366">$B366-SUM(SUMIFS('Narrative &amp; Measures'!$M$28:$M$67,'Narrative &amp; Measures'!$A$28:$A$67,Alternatives!$C$63:$C$82,'Narrative &amp; Measures'!$BW$28:$BW$67,"&lt;="&amp;H$321,'Narrative &amp; Measures'!$CE$28:$CE$67,"&gt;="&amp;I$321))</f>
        <v>0</v>
      </c>
      <c r="I366" s="375" cm="1">
        <f t="array" ref="I366">$B366-SUM(SUMIFS('Narrative &amp; Measures'!$M$28:$M$67,'Narrative &amp; Measures'!$A$28:$A$67,Alternatives!$C$63:$C$82,'Narrative &amp; Measures'!$BW$28:$BW$67,"&lt;="&amp;I$321,'Narrative &amp; Measures'!$CE$28:$CE$67,"&gt;="&amp;J$321))</f>
        <v>0</v>
      </c>
      <c r="J366" s="375" cm="1">
        <f t="array" ref="J366">$B366-SUM(SUMIFS('Narrative &amp; Measures'!$M$28:$M$67,'Narrative &amp; Measures'!$A$28:$A$67,Alternatives!$C$63:$C$82,'Narrative &amp; Measures'!$BW$28:$BW$67,"&lt;="&amp;J$321,'Narrative &amp; Measures'!$CE$28:$CE$67,"&gt;="&amp;K$321))</f>
        <v>0</v>
      </c>
      <c r="K366" s="375" cm="1">
        <f t="array" ref="K366">$B366-SUM(SUMIFS('Narrative &amp; Measures'!$M$28:$M$67,'Narrative &amp; Measures'!$A$28:$A$67,Alternatives!$C$63:$C$82,'Narrative &amp; Measures'!$BW$28:$BW$67,"&lt;="&amp;K$321,'Narrative &amp; Measures'!$CE$28:$CE$67,"&gt;="&amp;L$321))</f>
        <v>0</v>
      </c>
      <c r="L366" s="375" cm="1">
        <f t="array" ref="L366">$B366-SUM(SUMIFS('Narrative &amp; Measures'!$M$28:$M$67,'Narrative &amp; Measures'!$A$28:$A$67,Alternatives!$C$63:$C$82,'Narrative &amp; Measures'!$BW$28:$BW$67,"&lt;="&amp;L$321,'Narrative &amp; Measures'!$CE$28:$CE$67,"&gt;="&amp;M$321))</f>
        <v>0</v>
      </c>
      <c r="M366" s="375" cm="1">
        <f t="array" ref="M366">$B366-SUM(SUMIFS('Narrative &amp; Measures'!$M$28:$M$67,'Narrative &amp; Measures'!$A$28:$A$67,Alternatives!$C$63:$C$82,'Narrative &amp; Measures'!$BW$28:$BW$67,"&lt;="&amp;M$321,'Narrative &amp; Measures'!$CE$28:$CE$67,"&gt;="&amp;N$321))</f>
        <v>0</v>
      </c>
      <c r="N366" s="375" cm="1">
        <f t="array" ref="N366">$B366-SUM(SUMIFS('Narrative &amp; Measures'!$M$28:$M$67,'Narrative &amp; Measures'!$A$28:$A$67,Alternatives!$C$63:$C$82,'Narrative &amp; Measures'!$BW$28:$BW$67,"&lt;="&amp;N$321,'Narrative &amp; Measures'!$CE$28:$CE$67,"&gt;="&amp;O$321))</f>
        <v>0</v>
      </c>
      <c r="O366" s="375" cm="1">
        <f t="array" ref="O366">$B366-SUM(SUMIFS('Narrative &amp; Measures'!$M$28:$M$67,'Narrative &amp; Measures'!$A$28:$A$67,Alternatives!$C$63:$C$82,'Narrative &amp; Measures'!$BW$28:$BW$67,"&lt;="&amp;O$321,'Narrative &amp; Measures'!$CE$28:$CE$67,"&gt;="&amp;P$321))</f>
        <v>0</v>
      </c>
      <c r="P366" s="375" cm="1">
        <f t="array" ref="P366">$B366-SUM(SUMIFS('Narrative &amp; Measures'!$M$28:$M$67,'Narrative &amp; Measures'!$A$28:$A$67,Alternatives!$C$63:$C$82,'Narrative &amp; Measures'!$BW$28:$BW$67,"&lt;="&amp;P$321,'Narrative &amp; Measures'!$CE$28:$CE$67,"&gt;="&amp;Q$321))</f>
        <v>0</v>
      </c>
      <c r="Q366" s="375" cm="1">
        <f t="array" ref="Q366">$B366-SUM(SUMIFS('Narrative &amp; Measures'!$M$28:$M$67,'Narrative &amp; Measures'!$A$28:$A$67,Alternatives!$C$63:$C$82,'Narrative &amp; Measures'!$BW$28:$BW$67,"&lt;="&amp;Q$321,'Narrative &amp; Measures'!$CE$28:$CE$67,"&gt;="&amp;R$321))</f>
        <v>0</v>
      </c>
      <c r="R366" s="375" cm="1">
        <f t="array" ref="R366">$B366-SUM(SUMIFS('Narrative &amp; Measures'!$M$28:$M$67,'Narrative &amp; Measures'!$A$28:$A$67,Alternatives!$C$63:$C$82,'Narrative &amp; Measures'!$BW$28:$BW$67,"&lt;="&amp;R$321,'Narrative &amp; Measures'!$CE$28:$CE$67,"&gt;="&amp;S$321))</f>
        <v>0</v>
      </c>
      <c r="S366" s="375" cm="1">
        <f t="array" ref="S366">$B366-SUM(SUMIFS('Narrative &amp; Measures'!$M$28:$M$67,'Narrative &amp; Measures'!$A$28:$A$67,Alternatives!$C$63:$C$82,'Narrative &amp; Measures'!$BW$28:$BW$67,"&lt;="&amp;S$321,'Narrative &amp; Measures'!$CE$28:$CE$67,"&gt;="&amp;T$321))</f>
        <v>0</v>
      </c>
      <c r="T366" s="375" cm="1">
        <f t="array" ref="T366">$B366-SUM(SUMIFS('Narrative &amp; Measures'!$M$28:$M$67,'Narrative &amp; Measures'!$A$28:$A$67,Alternatives!$C$63:$C$82,'Narrative &amp; Measures'!$BW$28:$BW$67,"&lt;="&amp;T$321,'Narrative &amp; Measures'!$CE$28:$CE$67,"&gt;="&amp;U$321))</f>
        <v>0</v>
      </c>
      <c r="U366" s="375" cm="1">
        <f t="array" ref="U366">$B366-SUM(SUMIFS('Narrative &amp; Measures'!$M$28:$M$67,'Narrative &amp; Measures'!$A$28:$A$67,Alternatives!$C$63:$C$82,'Narrative &amp; Measures'!$BW$28:$BW$67,"&lt;="&amp;U$321,'Narrative &amp; Measures'!$CE$28:$CE$67,"&gt;="&amp;V$321))</f>
        <v>0</v>
      </c>
      <c r="V366" s="375" cm="1">
        <f t="array" ref="V366">$B366-SUM(SUMIFS('Narrative &amp; Measures'!$M$28:$M$67,'Narrative &amp; Measures'!$A$28:$A$67,Alternatives!$C$63:$C$82,'Narrative &amp; Measures'!$BW$28:$BW$67,"&lt;="&amp;V$321,'Narrative &amp; Measures'!$CE$28:$CE$67,"&gt;="&amp;W$321))</f>
        <v>0</v>
      </c>
    </row>
    <row r="367" spans="1:22" s="375" customFormat="1">
      <c r="A367" s="375" t="str">
        <f t="shared" si="209"/>
        <v>Alternative 3</v>
      </c>
      <c r="B367" s="375">
        <f>'Building Info &amp; Assumptions'!$B$352*'Building Info &amp; Assumptions'!$D$352</f>
        <v>0</v>
      </c>
      <c r="C367" s="375" cm="1">
        <f t="array" ref="C367">$B367-SUM(SUMIFS('Narrative &amp; Measures'!$M$28:$M$67,'Narrative &amp; Measures'!$A$28:$A$67,Alternatives!$C$88:$C$107,'Narrative &amp; Measures'!$BX$28:$BX$67,"&lt;="&amp;C$321,'Narrative &amp; Measures'!$CF$28:$CF$67,"&gt;="&amp;D$321))</f>
        <v>0</v>
      </c>
      <c r="D367" s="375" cm="1">
        <f t="array" ref="D367">$B367-SUM(SUMIFS('Narrative &amp; Measures'!$M$28:$M$67,'Narrative &amp; Measures'!$A$28:$A$67,Alternatives!$C$88:$C$107,'Narrative &amp; Measures'!$BX$28:$BX$67,"&lt;="&amp;D$321,'Narrative &amp; Measures'!$CF$28:$CF$67,"&gt;="&amp;E$321))</f>
        <v>0</v>
      </c>
      <c r="E367" s="375" cm="1">
        <f t="array" ref="E367">$B367-SUM(SUMIFS('Narrative &amp; Measures'!$M$28:$M$67,'Narrative &amp; Measures'!$A$28:$A$67,Alternatives!$C$88:$C$107,'Narrative &amp; Measures'!$BX$28:$BX$67,"&lt;="&amp;E$321,'Narrative &amp; Measures'!$CF$28:$CF$67,"&gt;="&amp;F$321))</f>
        <v>0</v>
      </c>
      <c r="F367" s="375" cm="1">
        <f t="array" ref="F367">$B367-SUM(SUMIFS('Narrative &amp; Measures'!$M$28:$M$67,'Narrative &amp; Measures'!$A$28:$A$67,Alternatives!$C$88:$C$107,'Narrative &amp; Measures'!$BX$28:$BX$67,"&lt;="&amp;F$321,'Narrative &amp; Measures'!$CF$28:$CF$67,"&gt;="&amp;G$321))</f>
        <v>0</v>
      </c>
      <c r="G367" s="375" cm="1">
        <f t="array" ref="G367">$B367-SUM(SUMIFS('Narrative &amp; Measures'!$M$28:$M$67,'Narrative &amp; Measures'!$A$28:$A$67,Alternatives!$C$88:$C$107,'Narrative &amp; Measures'!$BX$28:$BX$67,"&lt;="&amp;G$321,'Narrative &amp; Measures'!$CF$28:$CF$67,"&gt;="&amp;H$321))</f>
        <v>0</v>
      </c>
      <c r="H367" s="375" cm="1">
        <f t="array" ref="H367">$B367-SUM(SUMIFS('Narrative &amp; Measures'!$M$28:$M$67,'Narrative &amp; Measures'!$A$28:$A$67,Alternatives!$C$88:$C$107,'Narrative &amp; Measures'!$BX$28:$BX$67,"&lt;="&amp;H$321,'Narrative &amp; Measures'!$CF$28:$CF$67,"&gt;="&amp;I$321))</f>
        <v>0</v>
      </c>
      <c r="I367" s="375" cm="1">
        <f t="array" ref="I367">$B367-SUM(SUMIFS('Narrative &amp; Measures'!$M$28:$M$67,'Narrative &amp; Measures'!$A$28:$A$67,Alternatives!$C$88:$C$107,'Narrative &amp; Measures'!$BX$28:$BX$67,"&lt;="&amp;I$321,'Narrative &amp; Measures'!$CF$28:$CF$67,"&gt;="&amp;J$321))</f>
        <v>0</v>
      </c>
      <c r="J367" s="375" cm="1">
        <f t="array" ref="J367">$B367-SUM(SUMIFS('Narrative &amp; Measures'!$M$28:$M$67,'Narrative &amp; Measures'!$A$28:$A$67,Alternatives!$C$88:$C$107,'Narrative &amp; Measures'!$BX$28:$BX$67,"&lt;="&amp;J$321,'Narrative &amp; Measures'!$CF$28:$CF$67,"&gt;="&amp;K$321))</f>
        <v>0</v>
      </c>
      <c r="K367" s="375" cm="1">
        <f t="array" ref="K367">$B367-SUM(SUMIFS('Narrative &amp; Measures'!$M$28:$M$67,'Narrative &amp; Measures'!$A$28:$A$67,Alternatives!$C$88:$C$107,'Narrative &amp; Measures'!$BX$28:$BX$67,"&lt;="&amp;K$321,'Narrative &amp; Measures'!$CF$28:$CF$67,"&gt;="&amp;L$321))</f>
        <v>0</v>
      </c>
      <c r="L367" s="375" cm="1">
        <f t="array" ref="L367">$B367-SUM(SUMIFS('Narrative &amp; Measures'!$M$28:$M$67,'Narrative &amp; Measures'!$A$28:$A$67,Alternatives!$C$88:$C$107,'Narrative &amp; Measures'!$BX$28:$BX$67,"&lt;="&amp;L$321,'Narrative &amp; Measures'!$CF$28:$CF$67,"&gt;="&amp;M$321))</f>
        <v>0</v>
      </c>
      <c r="M367" s="375" cm="1">
        <f t="array" ref="M367">$B367-SUM(SUMIFS('Narrative &amp; Measures'!$M$28:$M$67,'Narrative &amp; Measures'!$A$28:$A$67,Alternatives!$C$88:$C$107,'Narrative &amp; Measures'!$BX$28:$BX$67,"&lt;="&amp;M$321,'Narrative &amp; Measures'!$CF$28:$CF$67,"&gt;="&amp;N$321))</f>
        <v>0</v>
      </c>
      <c r="N367" s="375" cm="1">
        <f t="array" ref="N367">$B367-SUM(SUMIFS('Narrative &amp; Measures'!$M$28:$M$67,'Narrative &amp; Measures'!$A$28:$A$67,Alternatives!$C$88:$C$107,'Narrative &amp; Measures'!$BX$28:$BX$67,"&lt;="&amp;N$321,'Narrative &amp; Measures'!$CF$28:$CF$67,"&gt;="&amp;O$321))</f>
        <v>0</v>
      </c>
      <c r="O367" s="375" cm="1">
        <f t="array" ref="O367">$B367-SUM(SUMIFS('Narrative &amp; Measures'!$M$28:$M$67,'Narrative &amp; Measures'!$A$28:$A$67,Alternatives!$C$88:$C$107,'Narrative &amp; Measures'!$BX$28:$BX$67,"&lt;="&amp;O$321,'Narrative &amp; Measures'!$CF$28:$CF$67,"&gt;="&amp;P$321))</f>
        <v>0</v>
      </c>
      <c r="P367" s="375" cm="1">
        <f t="array" ref="P367">$B367-SUM(SUMIFS('Narrative &amp; Measures'!$M$28:$M$67,'Narrative &amp; Measures'!$A$28:$A$67,Alternatives!$C$88:$C$107,'Narrative &amp; Measures'!$BX$28:$BX$67,"&lt;="&amp;P$321,'Narrative &amp; Measures'!$CF$28:$CF$67,"&gt;="&amp;Q$321))</f>
        <v>0</v>
      </c>
      <c r="Q367" s="375" cm="1">
        <f t="array" ref="Q367">$B367-SUM(SUMIFS('Narrative &amp; Measures'!$M$28:$M$67,'Narrative &amp; Measures'!$A$28:$A$67,Alternatives!$C$88:$C$107,'Narrative &amp; Measures'!$BX$28:$BX$67,"&lt;="&amp;Q$321,'Narrative &amp; Measures'!$CF$28:$CF$67,"&gt;="&amp;R$321))</f>
        <v>0</v>
      </c>
      <c r="R367" s="375" cm="1">
        <f t="array" ref="R367">$B367-SUM(SUMIFS('Narrative &amp; Measures'!$M$28:$M$67,'Narrative &amp; Measures'!$A$28:$A$67,Alternatives!$C$88:$C$107,'Narrative &amp; Measures'!$BX$28:$BX$67,"&lt;="&amp;R$321,'Narrative &amp; Measures'!$CF$28:$CF$67,"&gt;="&amp;S$321))</f>
        <v>0</v>
      </c>
      <c r="S367" s="375" cm="1">
        <f t="array" ref="S367">$B367-SUM(SUMIFS('Narrative &amp; Measures'!$M$28:$M$67,'Narrative &amp; Measures'!$A$28:$A$67,Alternatives!$C$88:$C$107,'Narrative &amp; Measures'!$BX$28:$BX$67,"&lt;="&amp;S$321,'Narrative &amp; Measures'!$CF$28:$CF$67,"&gt;="&amp;T$321))</f>
        <v>0</v>
      </c>
      <c r="T367" s="375" cm="1">
        <f t="array" ref="T367">$B367-SUM(SUMIFS('Narrative &amp; Measures'!$M$28:$M$67,'Narrative &amp; Measures'!$A$28:$A$67,Alternatives!$C$88:$C$107,'Narrative &amp; Measures'!$BX$28:$BX$67,"&lt;="&amp;T$321,'Narrative &amp; Measures'!$CF$28:$CF$67,"&gt;="&amp;U$321))</f>
        <v>0</v>
      </c>
      <c r="U367" s="375" cm="1">
        <f t="array" ref="U367">$B367-SUM(SUMIFS('Narrative &amp; Measures'!$M$28:$M$67,'Narrative &amp; Measures'!$A$28:$A$67,Alternatives!$C$88:$C$107,'Narrative &amp; Measures'!$BX$28:$BX$67,"&lt;="&amp;U$321,'Narrative &amp; Measures'!$CF$28:$CF$67,"&gt;="&amp;V$321))</f>
        <v>0</v>
      </c>
      <c r="V367" s="375" cm="1">
        <f t="array" ref="V367">$B367-SUM(SUMIFS('Narrative &amp; Measures'!$M$28:$M$67,'Narrative &amp; Measures'!$A$28:$A$67,Alternatives!$C$88:$C$107,'Narrative &amp; Measures'!$BX$28:$BX$67,"&lt;="&amp;V$321,'Narrative &amp; Measures'!$CF$28:$CF$67,"&gt;="&amp;W$321))</f>
        <v>0</v>
      </c>
    </row>
    <row r="368" spans="1:22" s="375" customFormat="1"/>
    <row r="369" spans="1:23" s="375" customFormat="1"/>
    <row r="370" spans="1:23" s="375" customFormat="1">
      <c r="A370" s="375" t="s">
        <v>623</v>
      </c>
      <c r="B370" s="375">
        <v>0</v>
      </c>
      <c r="C370" s="375">
        <v>1</v>
      </c>
      <c r="D370" s="375">
        <v>2</v>
      </c>
      <c r="E370" s="375">
        <v>3</v>
      </c>
      <c r="F370" s="375">
        <v>4</v>
      </c>
      <c r="G370" s="375">
        <v>5</v>
      </c>
      <c r="H370" s="375">
        <v>6</v>
      </c>
      <c r="I370" s="375">
        <v>7</v>
      </c>
      <c r="J370" s="375">
        <v>8</v>
      </c>
      <c r="K370" s="375">
        <v>9</v>
      </c>
      <c r="L370" s="375">
        <v>10</v>
      </c>
      <c r="M370" s="375">
        <v>11</v>
      </c>
      <c r="N370" s="375">
        <v>12</v>
      </c>
      <c r="O370" s="375">
        <v>13</v>
      </c>
      <c r="P370" s="375">
        <v>14</v>
      </c>
      <c r="Q370" s="375">
        <v>15</v>
      </c>
      <c r="R370" s="375">
        <v>16</v>
      </c>
      <c r="S370" s="375">
        <v>17</v>
      </c>
      <c r="T370" s="375">
        <v>18</v>
      </c>
      <c r="U370" s="375">
        <v>19</v>
      </c>
      <c r="V370" s="375">
        <v>20</v>
      </c>
      <c r="W370" s="375">
        <v>21</v>
      </c>
    </row>
    <row r="371" spans="1:23" s="375" customFormat="1">
      <c r="B371" s="479">
        <f>Alternatives!B11</f>
        <v>2021</v>
      </c>
      <c r="C371" s="479">
        <f t="shared" ref="C371:V371" si="211">B371+1</f>
        <v>2022</v>
      </c>
      <c r="D371" s="479">
        <f t="shared" si="211"/>
        <v>2023</v>
      </c>
      <c r="E371" s="479">
        <f t="shared" si="211"/>
        <v>2024</v>
      </c>
      <c r="F371" s="479">
        <f t="shared" si="211"/>
        <v>2025</v>
      </c>
      <c r="G371" s="479">
        <f t="shared" si="211"/>
        <v>2026</v>
      </c>
      <c r="H371" s="479">
        <f t="shared" si="211"/>
        <v>2027</v>
      </c>
      <c r="I371" s="479">
        <f t="shared" si="211"/>
        <v>2028</v>
      </c>
      <c r="J371" s="479">
        <f t="shared" si="211"/>
        <v>2029</v>
      </c>
      <c r="K371" s="479">
        <f t="shared" si="211"/>
        <v>2030</v>
      </c>
      <c r="L371" s="479">
        <f t="shared" si="211"/>
        <v>2031</v>
      </c>
      <c r="M371" s="479">
        <f t="shared" si="211"/>
        <v>2032</v>
      </c>
      <c r="N371" s="479">
        <f t="shared" si="211"/>
        <v>2033</v>
      </c>
      <c r="O371" s="479">
        <f t="shared" si="211"/>
        <v>2034</v>
      </c>
      <c r="P371" s="479">
        <f t="shared" si="211"/>
        <v>2035</v>
      </c>
      <c r="Q371" s="479">
        <f t="shared" si="211"/>
        <v>2036</v>
      </c>
      <c r="R371" s="479">
        <f t="shared" si="211"/>
        <v>2037</v>
      </c>
      <c r="S371" s="479">
        <f t="shared" si="211"/>
        <v>2038</v>
      </c>
      <c r="T371" s="479">
        <f t="shared" si="211"/>
        <v>2039</v>
      </c>
      <c r="U371" s="479">
        <f t="shared" si="211"/>
        <v>2040</v>
      </c>
      <c r="V371" s="479">
        <f t="shared" si="211"/>
        <v>2041</v>
      </c>
    </row>
    <row r="372" spans="1:23" s="375" customFormat="1">
      <c r="A372" s="375" t="str">
        <f>A270</f>
        <v>Baseline - Reactive Fines</v>
      </c>
      <c r="B372" s="484">
        <f>'Building Info &amp; Assumptions'!$B$372</f>
        <v>173.25425000000001</v>
      </c>
      <c r="C372" s="724">
        <f t="shared" ref="C372:V372" si="212">(C323*kBTUperKWH+C331*kBTUperTherm+C339*kBTUperlbsSteam+C347*kBTUperUnit_Util4+C355*kBTUperUnit_Util5+C363*kBTUperUnit_Util6)/FloorArea_Gross</f>
        <v>173.25425000000001</v>
      </c>
      <c r="D372" s="724">
        <f t="shared" ca="1" si="212"/>
        <v>171.264002</v>
      </c>
      <c r="E372" s="724">
        <f t="shared" ca="1" si="212"/>
        <v>171.264002</v>
      </c>
      <c r="F372" s="724">
        <f t="shared" ca="1" si="212"/>
        <v>171.264002</v>
      </c>
      <c r="G372" s="724">
        <f t="shared" ca="1" si="212"/>
        <v>171.264002</v>
      </c>
      <c r="H372" s="724">
        <f t="shared" ca="1" si="212"/>
        <v>171.264002</v>
      </c>
      <c r="I372" s="724">
        <f t="shared" ca="1" si="212"/>
        <v>170.10520149999999</v>
      </c>
      <c r="J372" s="724">
        <f t="shared" ca="1" si="212"/>
        <v>170.10520149999999</v>
      </c>
      <c r="K372" s="724">
        <f t="shared" ca="1" si="212"/>
        <v>170.10520149999999</v>
      </c>
      <c r="L372" s="724">
        <f t="shared" ca="1" si="212"/>
        <v>170.10520149999999</v>
      </c>
      <c r="M372" s="724">
        <f t="shared" ca="1" si="212"/>
        <v>170.10520149999999</v>
      </c>
      <c r="N372" s="724">
        <f t="shared" ca="1" si="212"/>
        <v>169.789165</v>
      </c>
      <c r="O372" s="724">
        <f t="shared" ca="1" si="212"/>
        <v>169.789165</v>
      </c>
      <c r="P372" s="724">
        <f t="shared" ca="1" si="212"/>
        <v>169.789165</v>
      </c>
      <c r="Q372" s="724">
        <f t="shared" ca="1" si="212"/>
        <v>169.789165</v>
      </c>
      <c r="R372" s="724">
        <f t="shared" ca="1" si="212"/>
        <v>169.789165</v>
      </c>
      <c r="S372" s="724">
        <f t="shared" ca="1" si="212"/>
        <v>169.789165</v>
      </c>
      <c r="T372" s="724">
        <f t="shared" ca="1" si="212"/>
        <v>169.789165</v>
      </c>
      <c r="U372" s="724">
        <f t="shared" ca="1" si="212"/>
        <v>169.789165</v>
      </c>
      <c r="V372" s="724">
        <f t="shared" ca="1" si="212"/>
        <v>169.789165</v>
      </c>
    </row>
    <row r="373" spans="1:23" s="375" customFormat="1">
      <c r="A373" s="375" t="str">
        <f>A272</f>
        <v>Baseline - Offset Based Compliance</v>
      </c>
      <c r="B373" s="484">
        <f>'Building Info &amp; Assumptions'!$B$372</f>
        <v>173.25425000000001</v>
      </c>
      <c r="C373" s="724">
        <f t="shared" ref="C373:V373" si="213">(C324*kBTUperKWH+C332*kBTUperTherm+C340*kBTUperlbsSteam+C348*kBTUperUnit_Util4+C356*kBTUperUnit_Util5+C364*kBTUperUnit_Util6)/FloorArea_Gross</f>
        <v>173.25425000000001</v>
      </c>
      <c r="D373" s="724">
        <f t="shared" ca="1" si="213"/>
        <v>171.264002</v>
      </c>
      <c r="E373" s="724">
        <f t="shared" ca="1" si="213"/>
        <v>171.264002</v>
      </c>
      <c r="F373" s="724">
        <f t="shared" ca="1" si="213"/>
        <v>171.264002</v>
      </c>
      <c r="G373" s="724">
        <f t="shared" ca="1" si="213"/>
        <v>171.264002</v>
      </c>
      <c r="H373" s="724">
        <f t="shared" ca="1" si="213"/>
        <v>171.264002</v>
      </c>
      <c r="I373" s="724">
        <f t="shared" ca="1" si="213"/>
        <v>170.10520149999999</v>
      </c>
      <c r="J373" s="724">
        <f t="shared" ca="1" si="213"/>
        <v>170.10520149999999</v>
      </c>
      <c r="K373" s="724">
        <f t="shared" ca="1" si="213"/>
        <v>170.10520149999999</v>
      </c>
      <c r="L373" s="724">
        <f t="shared" ca="1" si="213"/>
        <v>170.10520149999999</v>
      </c>
      <c r="M373" s="724">
        <f t="shared" ca="1" si="213"/>
        <v>170.10520149999999</v>
      </c>
      <c r="N373" s="724">
        <f t="shared" ca="1" si="213"/>
        <v>169.789165</v>
      </c>
      <c r="O373" s="724">
        <f t="shared" ca="1" si="213"/>
        <v>169.789165</v>
      </c>
      <c r="P373" s="724">
        <f t="shared" ca="1" si="213"/>
        <v>169.789165</v>
      </c>
      <c r="Q373" s="724">
        <f t="shared" ca="1" si="213"/>
        <v>169.789165</v>
      </c>
      <c r="R373" s="724">
        <f t="shared" ca="1" si="213"/>
        <v>169.789165</v>
      </c>
      <c r="S373" s="724">
        <f t="shared" ca="1" si="213"/>
        <v>169.789165</v>
      </c>
      <c r="T373" s="724">
        <f t="shared" ca="1" si="213"/>
        <v>169.789165</v>
      </c>
      <c r="U373" s="724">
        <f t="shared" ca="1" si="213"/>
        <v>169.789165</v>
      </c>
      <c r="V373" s="724">
        <f t="shared" ca="1" si="213"/>
        <v>169.789165</v>
      </c>
    </row>
    <row r="374" spans="1:23" s="375" customFormat="1">
      <c r="A374" s="375" t="s">
        <v>23</v>
      </c>
      <c r="B374" s="484">
        <f>'Building Info &amp; Assumptions'!$B$372</f>
        <v>173.25425000000001</v>
      </c>
      <c r="C374" s="724">
        <f t="shared" ref="C374:V374" si="214">(C325*kBTUperKWH+C333*kBTUperTherm+C341*kBTUperlbsSteam+C349*kBTUperUnit_Util4+C357*kBTUperUnit_Util5+C365*kBTUperUnit_Util6)/FloorArea_Gross</f>
        <v>170.64212499999999</v>
      </c>
      <c r="D374" s="724">
        <f t="shared" si="214"/>
        <v>169.043375</v>
      </c>
      <c r="E374" s="724">
        <f t="shared" si="214"/>
        <v>164.67212499999999</v>
      </c>
      <c r="F374" s="724">
        <f t="shared" si="214"/>
        <v>164.67212499999999</v>
      </c>
      <c r="G374" s="724">
        <f t="shared" si="214"/>
        <v>166.485375</v>
      </c>
      <c r="H374" s="724">
        <f t="shared" si="214"/>
        <v>166.485375</v>
      </c>
      <c r="I374" s="724">
        <f t="shared" si="214"/>
        <v>166.485375</v>
      </c>
      <c r="J374" s="724">
        <f t="shared" si="214"/>
        <v>131.305375</v>
      </c>
      <c r="K374" s="724">
        <f t="shared" si="214"/>
        <v>131.305375</v>
      </c>
      <c r="L374" s="724">
        <f t="shared" si="214"/>
        <v>131.305375</v>
      </c>
      <c r="M374" s="724">
        <f t="shared" si="214"/>
        <v>132.90462500000001</v>
      </c>
      <c r="N374" s="724">
        <f t="shared" si="214"/>
        <v>132.90462500000001</v>
      </c>
      <c r="O374" s="724">
        <f t="shared" si="214"/>
        <v>132.90462500000001</v>
      </c>
      <c r="P374" s="724">
        <f t="shared" si="214"/>
        <v>132.90462500000001</v>
      </c>
      <c r="Q374" s="724">
        <f t="shared" si="214"/>
        <v>132.90462500000001</v>
      </c>
      <c r="R374" s="724">
        <f t="shared" si="214"/>
        <v>133.91749999999999</v>
      </c>
      <c r="S374" s="724">
        <f t="shared" si="214"/>
        <v>135.51625000000001</v>
      </c>
      <c r="T374" s="724">
        <f t="shared" si="214"/>
        <v>135.51625000000001</v>
      </c>
      <c r="U374" s="724">
        <f t="shared" si="214"/>
        <v>135.51625000000001</v>
      </c>
      <c r="V374" s="724">
        <f t="shared" si="214"/>
        <v>135.51625000000001</v>
      </c>
    </row>
    <row r="375" spans="1:23" s="375" customFormat="1">
      <c r="A375" s="375" t="s">
        <v>25</v>
      </c>
      <c r="B375" s="484">
        <f>'Building Info &amp; Assumptions'!$B$372</f>
        <v>173.25425000000001</v>
      </c>
      <c r="C375" s="724">
        <f t="shared" ref="C375:V375" si="215">(C326*kBTUperKWH+C334*kBTUperTherm+C342*kBTUperlbsSteam+C350*kBTUperUnit_Util4+C358*kBTUperUnit_Util5+C366*kBTUperUnit_Util6)/FloorArea_Gross</f>
        <v>171.068625</v>
      </c>
      <c r="D375" s="724">
        <f t="shared" si="215"/>
        <v>169.043375</v>
      </c>
      <c r="E375" s="724">
        <f t="shared" si="215"/>
        <v>169.043375</v>
      </c>
      <c r="F375" s="724">
        <f t="shared" si="215"/>
        <v>164.67212499999999</v>
      </c>
      <c r="G375" s="724">
        <f t="shared" si="215"/>
        <v>164.67212499999999</v>
      </c>
      <c r="H375" s="724">
        <f t="shared" si="215"/>
        <v>164.67212499999999</v>
      </c>
      <c r="I375" s="724">
        <f t="shared" si="215"/>
        <v>164.67212499999999</v>
      </c>
      <c r="J375" s="724">
        <f t="shared" si="215"/>
        <v>158.494125</v>
      </c>
      <c r="K375" s="724">
        <f t="shared" si="215"/>
        <v>158.494125</v>
      </c>
      <c r="L375" s="724">
        <f t="shared" si="215"/>
        <v>158.494125</v>
      </c>
      <c r="M375" s="724">
        <f t="shared" si="215"/>
        <v>159.666875</v>
      </c>
      <c r="N375" s="724">
        <f t="shared" si="215"/>
        <v>160.09337500000001</v>
      </c>
      <c r="O375" s="724">
        <f t="shared" si="215"/>
        <v>160.09337500000001</v>
      </c>
      <c r="P375" s="724">
        <f t="shared" si="215"/>
        <v>160.09337500000001</v>
      </c>
      <c r="Q375" s="724">
        <f t="shared" si="215"/>
        <v>160.09337500000001</v>
      </c>
      <c r="R375" s="724">
        <f t="shared" si="215"/>
        <v>161.10624999999999</v>
      </c>
      <c r="S375" s="724">
        <f t="shared" si="215"/>
        <v>162.70500000000001</v>
      </c>
      <c r="T375" s="724">
        <f t="shared" si="215"/>
        <v>162.70500000000001</v>
      </c>
      <c r="U375" s="724">
        <f t="shared" si="215"/>
        <v>162.70500000000001</v>
      </c>
      <c r="V375" s="724">
        <f t="shared" si="215"/>
        <v>162.70500000000001</v>
      </c>
    </row>
    <row r="376" spans="1:23" s="375" customFormat="1">
      <c r="A376" s="375" t="s">
        <v>27</v>
      </c>
      <c r="B376" s="484">
        <f>'Building Info &amp; Assumptions'!$B$372</f>
        <v>173.25425000000001</v>
      </c>
      <c r="C376" s="724">
        <f t="shared" ref="C376:V376" si="216">(C327*kBTUperKWH+C335*kBTUperTherm+C343*kBTUperlbsSteam+C351*kBTUperUnit_Util4+C359*kBTUperUnit_Util5+C367*kBTUperUnit_Util6)/FloorArea_Gross</f>
        <v>172.24137500000001</v>
      </c>
      <c r="D376" s="724">
        <f t="shared" si="216"/>
        <v>174.907625</v>
      </c>
      <c r="E376" s="724">
        <f t="shared" si="216"/>
        <v>174.907625</v>
      </c>
      <c r="F376" s="724">
        <f t="shared" si="216"/>
        <v>174.907625</v>
      </c>
      <c r="G376" s="724">
        <f t="shared" si="216"/>
        <v>170.53637499999999</v>
      </c>
      <c r="H376" s="724">
        <f t="shared" si="216"/>
        <v>170.53637499999999</v>
      </c>
      <c r="I376" s="724">
        <f t="shared" si="216"/>
        <v>164.358375</v>
      </c>
      <c r="J376" s="724">
        <f t="shared" si="216"/>
        <v>164.358375</v>
      </c>
      <c r="K376" s="724">
        <f t="shared" si="216"/>
        <v>164.358375</v>
      </c>
      <c r="L376" s="724">
        <f t="shared" si="216"/>
        <v>164.358375</v>
      </c>
      <c r="M376" s="724">
        <f t="shared" si="216"/>
        <v>164.358375</v>
      </c>
      <c r="N376" s="724">
        <f t="shared" si="216"/>
        <v>164.358375</v>
      </c>
      <c r="O376" s="724">
        <f t="shared" si="216"/>
        <v>164.358375</v>
      </c>
      <c r="P376" s="724">
        <f t="shared" si="216"/>
        <v>164.358375</v>
      </c>
      <c r="Q376" s="724">
        <f t="shared" si="216"/>
        <v>164.358375</v>
      </c>
      <c r="R376" s="724">
        <f t="shared" si="216"/>
        <v>165.37125</v>
      </c>
      <c r="S376" s="724">
        <f t="shared" si="216"/>
        <v>162.70500000000001</v>
      </c>
      <c r="T376" s="724">
        <f t="shared" si="216"/>
        <v>162.70500000000001</v>
      </c>
      <c r="U376" s="724">
        <f t="shared" si="216"/>
        <v>162.70500000000001</v>
      </c>
      <c r="V376" s="724">
        <f t="shared" si="216"/>
        <v>162.70500000000001</v>
      </c>
    </row>
    <row r="377" spans="1:23" s="375" customFormat="1"/>
    <row r="378" spans="1:23" s="375" customFormat="1">
      <c r="B378" s="375">
        <v>2021</v>
      </c>
      <c r="C378" s="375">
        <v>2022</v>
      </c>
      <c r="D378" s="375">
        <v>2023</v>
      </c>
      <c r="E378" s="375">
        <v>2024</v>
      </c>
      <c r="F378" s="375">
        <v>2025</v>
      </c>
      <c r="G378" s="375">
        <v>2026</v>
      </c>
      <c r="H378" s="375">
        <v>2027</v>
      </c>
      <c r="I378" s="375">
        <v>2028</v>
      </c>
      <c r="J378" s="375">
        <v>2029</v>
      </c>
      <c r="K378" s="375">
        <v>2030</v>
      </c>
      <c r="L378" s="375">
        <v>2031</v>
      </c>
      <c r="M378" s="375">
        <v>2032</v>
      </c>
      <c r="N378" s="375">
        <v>2033</v>
      </c>
      <c r="O378" s="375">
        <v>2034</v>
      </c>
      <c r="P378" s="375">
        <v>2035</v>
      </c>
      <c r="Q378" s="375">
        <v>2036</v>
      </c>
      <c r="R378" s="375">
        <v>2037</v>
      </c>
      <c r="S378" s="375">
        <v>2038</v>
      </c>
      <c r="T378" s="375">
        <v>2039</v>
      </c>
      <c r="U378" s="375">
        <v>2040</v>
      </c>
      <c r="V378" s="375">
        <v>2041</v>
      </c>
    </row>
    <row r="379" spans="1:23" s="375" customFormat="1">
      <c r="A379" s="375" t="s">
        <v>624</v>
      </c>
      <c r="B379" s="731">
        <f>'Building Info &amp; Assumptions'!G89*3.412</f>
        <v>0.28896228000000002</v>
      </c>
      <c r="C379" s="731">
        <f>B379</f>
        <v>0.28896228000000002</v>
      </c>
      <c r="D379" s="375">
        <v>0.27</v>
      </c>
      <c r="E379" s="375">
        <v>0.23</v>
      </c>
      <c r="F379" s="375">
        <v>0.2</v>
      </c>
      <c r="G379" s="375">
        <v>0.18</v>
      </c>
      <c r="H379" s="375">
        <v>0.16</v>
      </c>
      <c r="I379" s="375">
        <v>0.14000000000000001</v>
      </c>
      <c r="J379" s="375">
        <v>0.12</v>
      </c>
      <c r="K379" s="375">
        <v>0.1</v>
      </c>
      <c r="L379" s="375">
        <v>0.09</v>
      </c>
      <c r="M379" s="375">
        <v>0.08</v>
      </c>
      <c r="N379" s="375">
        <v>7.0000000000000007E-2</v>
      </c>
      <c r="O379" s="375">
        <v>0.06</v>
      </c>
      <c r="P379" s="375">
        <v>0.05</v>
      </c>
      <c r="Q379" s="375">
        <v>0.04</v>
      </c>
      <c r="R379" s="375">
        <v>0.03</v>
      </c>
      <c r="S379" s="375">
        <v>0.02</v>
      </c>
      <c r="T379" s="375">
        <v>0.01</v>
      </c>
      <c r="U379" s="375">
        <v>0</v>
      </c>
      <c r="V379" s="375">
        <v>0</v>
      </c>
    </row>
    <row r="380" spans="1:23" s="375" customFormat="1">
      <c r="A380" s="375" t="s">
        <v>625</v>
      </c>
      <c r="B380" s="732">
        <f>B379/1000/3.412</f>
        <v>8.4690000000000004E-5</v>
      </c>
      <c r="C380" s="732">
        <f t="shared" ref="C380:V380" si="217">C379/1000/3.412</f>
        <v>8.4690000000000004E-5</v>
      </c>
      <c r="D380" s="732">
        <f t="shared" si="217"/>
        <v>7.9132473622508793E-5</v>
      </c>
      <c r="E380" s="732">
        <f t="shared" si="217"/>
        <v>6.7409144196951937E-5</v>
      </c>
      <c r="F380" s="732">
        <f t="shared" si="217"/>
        <v>5.8616647127784297E-5</v>
      </c>
      <c r="G380" s="732">
        <f t="shared" si="217"/>
        <v>5.2754982415005856E-5</v>
      </c>
      <c r="H380" s="732">
        <f t="shared" si="217"/>
        <v>4.6893317702227441E-5</v>
      </c>
      <c r="I380" s="732">
        <f t="shared" si="217"/>
        <v>4.1031652989449006E-5</v>
      </c>
      <c r="J380" s="732">
        <f t="shared" si="217"/>
        <v>3.516998827667057E-5</v>
      </c>
      <c r="K380" s="732">
        <f t="shared" si="217"/>
        <v>2.9308323563892149E-5</v>
      </c>
      <c r="L380" s="732">
        <f t="shared" si="217"/>
        <v>2.6377491207502928E-5</v>
      </c>
      <c r="M380" s="732">
        <f t="shared" si="217"/>
        <v>2.344665885111372E-5</v>
      </c>
      <c r="N380" s="732">
        <f t="shared" si="217"/>
        <v>2.0515826494724503E-5</v>
      </c>
      <c r="O380" s="732">
        <f t="shared" si="217"/>
        <v>1.7584994138335285E-5</v>
      </c>
      <c r="P380" s="732">
        <f t="shared" si="217"/>
        <v>1.4654161781946074E-5</v>
      </c>
      <c r="Q380" s="732">
        <f t="shared" si="217"/>
        <v>1.172332942555686E-5</v>
      </c>
      <c r="R380" s="732">
        <f t="shared" si="217"/>
        <v>8.7924970691676426E-6</v>
      </c>
      <c r="S380" s="732">
        <f t="shared" si="217"/>
        <v>5.8616647127784301E-6</v>
      </c>
      <c r="T380" s="732">
        <f t="shared" si="217"/>
        <v>2.930832356389215E-6</v>
      </c>
      <c r="U380" s="732">
        <f t="shared" si="217"/>
        <v>0</v>
      </c>
      <c r="V380" s="732">
        <f t="shared" si="217"/>
        <v>0</v>
      </c>
    </row>
    <row r="381" spans="1:23" s="375" customFormat="1"/>
    <row r="382" spans="1:23" s="375" customFormat="1">
      <c r="A382" s="375" t="s">
        <v>626</v>
      </c>
      <c r="B382" s="375">
        <v>0</v>
      </c>
      <c r="C382" s="375">
        <v>1</v>
      </c>
      <c r="D382" s="375">
        <v>2</v>
      </c>
      <c r="E382" s="375">
        <v>3</v>
      </c>
      <c r="F382" s="375">
        <v>4</v>
      </c>
      <c r="G382" s="375">
        <v>5</v>
      </c>
      <c r="H382" s="375">
        <v>6</v>
      </c>
      <c r="I382" s="375">
        <v>7</v>
      </c>
      <c r="J382" s="375">
        <v>8</v>
      </c>
      <c r="K382" s="375">
        <v>9</v>
      </c>
      <c r="L382" s="375">
        <v>10</v>
      </c>
      <c r="M382" s="375">
        <v>11</v>
      </c>
      <c r="N382" s="375">
        <v>12</v>
      </c>
      <c r="O382" s="375">
        <v>13</v>
      </c>
      <c r="P382" s="375">
        <v>14</v>
      </c>
      <c r="Q382" s="375">
        <v>15</v>
      </c>
      <c r="R382" s="375">
        <v>16</v>
      </c>
      <c r="S382" s="375">
        <v>17</v>
      </c>
      <c r="T382" s="375">
        <v>18</v>
      </c>
      <c r="U382" s="375">
        <v>19</v>
      </c>
      <c r="V382" s="375">
        <v>20</v>
      </c>
      <c r="W382" s="375">
        <v>21</v>
      </c>
    </row>
    <row r="383" spans="1:23" s="375" customFormat="1">
      <c r="B383" s="479">
        <f>Alternatives!B11</f>
        <v>2021</v>
      </c>
      <c r="C383" s="479">
        <f>B383+1</f>
        <v>2022</v>
      </c>
      <c r="D383" s="479">
        <f>C383+1</f>
        <v>2023</v>
      </c>
      <c r="E383" s="479">
        <f t="shared" ref="E383:V383" si="218">D383+1</f>
        <v>2024</v>
      </c>
      <c r="F383" s="479">
        <f t="shared" si="218"/>
        <v>2025</v>
      </c>
      <c r="G383" s="479">
        <f t="shared" si="218"/>
        <v>2026</v>
      </c>
      <c r="H383" s="479">
        <f t="shared" si="218"/>
        <v>2027</v>
      </c>
      <c r="I383" s="479">
        <f t="shared" si="218"/>
        <v>2028</v>
      </c>
      <c r="J383" s="479">
        <f t="shared" si="218"/>
        <v>2029</v>
      </c>
      <c r="K383" s="479">
        <f t="shared" si="218"/>
        <v>2030</v>
      </c>
      <c r="L383" s="479">
        <f t="shared" si="218"/>
        <v>2031</v>
      </c>
      <c r="M383" s="479">
        <f t="shared" si="218"/>
        <v>2032</v>
      </c>
      <c r="N383" s="479">
        <f t="shared" si="218"/>
        <v>2033</v>
      </c>
      <c r="O383" s="479">
        <f t="shared" si="218"/>
        <v>2034</v>
      </c>
      <c r="P383" s="479">
        <f t="shared" si="218"/>
        <v>2035</v>
      </c>
      <c r="Q383" s="479">
        <f t="shared" si="218"/>
        <v>2036</v>
      </c>
      <c r="R383" s="479">
        <f t="shared" si="218"/>
        <v>2037</v>
      </c>
      <c r="S383" s="479">
        <f t="shared" si="218"/>
        <v>2038</v>
      </c>
      <c r="T383" s="479">
        <f t="shared" si="218"/>
        <v>2039</v>
      </c>
      <c r="U383" s="479">
        <f t="shared" si="218"/>
        <v>2040</v>
      </c>
      <c r="V383" s="479">
        <f t="shared" si="218"/>
        <v>2041</v>
      </c>
    </row>
    <row r="384" spans="1:23" s="375" customFormat="1">
      <c r="A384" s="375" t="str">
        <f>A268</f>
        <v>Baseline Reactive (Cap Op St+IR DM)</v>
      </c>
      <c r="B384" s="479">
        <f>'Building Info &amp; Assumptions'!$B$378</f>
        <v>19156.560851999999</v>
      </c>
      <c r="C384" s="479">
        <f t="shared" ref="C384:V384" si="219">(C322*kBTUperKWH*C$380+C330*kBTUperTherm*CO2_perNatGaskBTU+C338*kBTUperlbsSteam*CO2_perSteamkBTU+C346*kBTUperUnit_Util4*CO2_perUtil4kBTU+C354*kBTUperUnit_Util5*CO2_perUtil5kBTU+C362*kBTUperUnit_Util6*CO2_perUtil6kBTU)</f>
        <v>19156.560851999999</v>
      </c>
      <c r="D384" s="479">
        <f t="shared" ca="1" si="219"/>
        <v>18042.159735599998</v>
      </c>
      <c r="E384" s="479">
        <f t="shared" ca="1" si="219"/>
        <v>16078.015735599998</v>
      </c>
      <c r="F384" s="479">
        <f t="shared" ca="1" si="219"/>
        <v>14604.907735600002</v>
      </c>
      <c r="G384" s="479">
        <f t="shared" ca="1" si="219"/>
        <v>13622.835735599998</v>
      </c>
      <c r="H384" s="479">
        <f t="shared" ca="1" si="219"/>
        <v>12640.763735600001</v>
      </c>
      <c r="I384" s="479">
        <f t="shared" ca="1" si="219"/>
        <v>11582.6157356</v>
      </c>
      <c r="J384" s="479">
        <f t="shared" ca="1" si="219"/>
        <v>10611.411735599999</v>
      </c>
      <c r="K384" s="479">
        <f t="shared" ca="1" si="219"/>
        <v>9640.2077356000009</v>
      </c>
      <c r="L384" s="479">
        <f t="shared" ca="1" si="219"/>
        <v>9154.6057355999983</v>
      </c>
      <c r="M384" s="479">
        <f t="shared" ca="1" si="219"/>
        <v>8669.0037355999993</v>
      </c>
      <c r="N384" s="479">
        <f t="shared" ca="1" si="219"/>
        <v>8173.0277355999997</v>
      </c>
      <c r="O384" s="479">
        <f t="shared" ca="1" si="219"/>
        <v>7688.9077355999998</v>
      </c>
      <c r="P384" s="479">
        <f t="shared" ca="1" si="219"/>
        <v>7204.7877355999999</v>
      </c>
      <c r="Q384" s="479">
        <f t="shared" ca="1" si="219"/>
        <v>6720.6677356</v>
      </c>
      <c r="R384" s="479">
        <f t="shared" ca="1" si="219"/>
        <v>6236.5477355999992</v>
      </c>
      <c r="S384" s="479">
        <f t="shared" ca="1" si="219"/>
        <v>5752.4277355999993</v>
      </c>
      <c r="T384" s="479">
        <f t="shared" ca="1" si="219"/>
        <v>5268.3077355999994</v>
      </c>
      <c r="U384" s="479">
        <f t="shared" ca="1" si="219"/>
        <v>4784.1877355999995</v>
      </c>
      <c r="V384" s="479">
        <f t="shared" ca="1" si="219"/>
        <v>4784.1877355999995</v>
      </c>
    </row>
    <row r="385" spans="1:28" s="375" customFormat="1">
      <c r="A385" s="375" t="str">
        <f>A270</f>
        <v>Baseline - Reactive Fines</v>
      </c>
      <c r="B385" s="479">
        <f>'Building Info &amp; Assumptions'!$B$378</f>
        <v>19156.560851999999</v>
      </c>
      <c r="C385" s="479">
        <f t="shared" ref="C385:V385" si="220">(C323*kBTUperKWH*C$380+C331*kBTUperTherm*CO2_perNatGaskBTU+C339*kBTUperlbsSteam*CO2_perSteamkBTU+C347*kBTUperUnit_Util4*CO2_perUtil4kBTU+C355*kBTUperUnit_Util5*CO2_perUtil5kBTU+C363*kBTUperUnit_Util6*CO2_perUtil6kBTU)</f>
        <v>19156.560851999999</v>
      </c>
      <c r="D385" s="479">
        <f t="shared" ca="1" si="220"/>
        <v>18042.159735599998</v>
      </c>
      <c r="E385" s="479">
        <f t="shared" ca="1" si="220"/>
        <v>16078.015735599998</v>
      </c>
      <c r="F385" s="479">
        <f t="shared" ca="1" si="220"/>
        <v>14604.907735600002</v>
      </c>
      <c r="G385" s="479">
        <f t="shared" ca="1" si="220"/>
        <v>13622.835735599998</v>
      </c>
      <c r="H385" s="479">
        <f t="shared" ca="1" si="220"/>
        <v>12640.763735600001</v>
      </c>
      <c r="I385" s="479">
        <f t="shared" ca="1" si="220"/>
        <v>11582.6157356</v>
      </c>
      <c r="J385" s="479">
        <f t="shared" ca="1" si="220"/>
        <v>10611.411735599999</v>
      </c>
      <c r="K385" s="479">
        <f t="shared" ca="1" si="220"/>
        <v>9640.2077356000009</v>
      </c>
      <c r="L385" s="479">
        <f t="shared" ca="1" si="220"/>
        <v>9154.6057355999983</v>
      </c>
      <c r="M385" s="479">
        <f t="shared" ca="1" si="220"/>
        <v>8669.0037355999993</v>
      </c>
      <c r="N385" s="479">
        <f t="shared" ca="1" si="220"/>
        <v>8173.0277355999997</v>
      </c>
      <c r="O385" s="479">
        <f t="shared" ca="1" si="220"/>
        <v>7688.9077355999998</v>
      </c>
      <c r="P385" s="479">
        <f t="shared" ca="1" si="220"/>
        <v>7204.7877355999999</v>
      </c>
      <c r="Q385" s="479">
        <f t="shared" ca="1" si="220"/>
        <v>6720.6677356</v>
      </c>
      <c r="R385" s="479">
        <f t="shared" ca="1" si="220"/>
        <v>6236.5477355999992</v>
      </c>
      <c r="S385" s="479">
        <f t="shared" ca="1" si="220"/>
        <v>5752.4277355999993</v>
      </c>
      <c r="T385" s="479">
        <f t="shared" ca="1" si="220"/>
        <v>5268.3077355999994</v>
      </c>
      <c r="U385" s="479">
        <f t="shared" ca="1" si="220"/>
        <v>4784.1877355999995</v>
      </c>
      <c r="V385" s="479">
        <f t="shared" ca="1" si="220"/>
        <v>4784.1877355999995</v>
      </c>
    </row>
    <row r="386" spans="1:28" s="375" customFormat="1">
      <c r="A386" s="375" t="str">
        <f>A272</f>
        <v>Baseline - Offset Based Compliance</v>
      </c>
      <c r="B386" s="479">
        <f>'Building Info &amp; Assumptions'!$B$378</f>
        <v>19156.560851999999</v>
      </c>
      <c r="C386" s="479">
        <f t="shared" ref="C386:V386" si="221">(C324*kBTUperKWH*C$380+C332*kBTUperTherm*CO2_perNatGaskBTU+C340*kBTUperlbsSteam*CO2_perSteamkBTU+C348*kBTUperUnit_Util4*CO2_perUtil4kBTU+C356*kBTUperUnit_Util5*CO2_perUtil5kBTU+C364*kBTUperUnit_Util6*CO2_perUtil6kBTU)</f>
        <v>19156.560851999999</v>
      </c>
      <c r="D386" s="479">
        <f t="shared" ca="1" si="221"/>
        <v>18042.159735599998</v>
      </c>
      <c r="E386" s="479">
        <f t="shared" ca="1" si="221"/>
        <v>16078.015735599998</v>
      </c>
      <c r="F386" s="479">
        <f t="shared" ca="1" si="221"/>
        <v>14604.907735600002</v>
      </c>
      <c r="G386" s="479">
        <f t="shared" ca="1" si="221"/>
        <v>13622.835735599998</v>
      </c>
      <c r="H386" s="479">
        <f t="shared" ca="1" si="221"/>
        <v>12640.763735600001</v>
      </c>
      <c r="I386" s="479">
        <f t="shared" ca="1" si="221"/>
        <v>11582.6157356</v>
      </c>
      <c r="J386" s="479">
        <f t="shared" ca="1" si="221"/>
        <v>10611.411735599999</v>
      </c>
      <c r="K386" s="479">
        <f t="shared" ca="1" si="221"/>
        <v>9640.2077356000009</v>
      </c>
      <c r="L386" s="479">
        <f t="shared" ca="1" si="221"/>
        <v>9154.6057355999983</v>
      </c>
      <c r="M386" s="479">
        <f t="shared" ca="1" si="221"/>
        <v>8669.0037355999993</v>
      </c>
      <c r="N386" s="479">
        <f t="shared" ca="1" si="221"/>
        <v>8173.0277355999997</v>
      </c>
      <c r="O386" s="479">
        <f t="shared" ca="1" si="221"/>
        <v>7688.9077355999998</v>
      </c>
      <c r="P386" s="479">
        <f t="shared" ca="1" si="221"/>
        <v>7204.7877355999999</v>
      </c>
      <c r="Q386" s="479">
        <f t="shared" ca="1" si="221"/>
        <v>6720.6677356</v>
      </c>
      <c r="R386" s="479">
        <f t="shared" ca="1" si="221"/>
        <v>6236.5477355999992</v>
      </c>
      <c r="S386" s="479">
        <f t="shared" ca="1" si="221"/>
        <v>5752.4277355999993</v>
      </c>
      <c r="T386" s="479">
        <f t="shared" ca="1" si="221"/>
        <v>5268.3077355999994</v>
      </c>
      <c r="U386" s="479">
        <f t="shared" ca="1" si="221"/>
        <v>4784.1877355999995</v>
      </c>
      <c r="V386" s="479">
        <f t="shared" ca="1" si="221"/>
        <v>4784.1877355999995</v>
      </c>
    </row>
    <row r="387" spans="1:28" s="375" customFormat="1">
      <c r="A387" s="375" t="s">
        <v>23</v>
      </c>
      <c r="B387" s="479">
        <f>'Building Info &amp; Assumptions'!$B$378</f>
        <v>19156.560851999999</v>
      </c>
      <c r="C387" s="479">
        <f t="shared" ref="C387:V387" si="222">(C325*kBTUperKWH*C$380+C333*kBTUperTherm*CO2_perNatGaskBTU+C341*kBTUperlbsSteam*CO2_perSteamkBTU+C349*kBTUperUnit_Util4*CO2_perUtil4kBTU+C357*kBTUperUnit_Util5*CO2_perUtil5kBTU+C365*kBTUperUnit_Util6*CO2_perUtil6kBTU)</f>
        <v>18873.817626</v>
      </c>
      <c r="D387" s="479">
        <f t="shared" si="222"/>
        <v>17952.122490000002</v>
      </c>
      <c r="E387" s="479">
        <f t="shared" si="222"/>
        <v>15573.183229999999</v>
      </c>
      <c r="F387" s="479">
        <f t="shared" si="222"/>
        <v>14112.183230000002</v>
      </c>
      <c r="G387" s="479">
        <f t="shared" si="222"/>
        <v>13337.951129999998</v>
      </c>
      <c r="H387" s="479">
        <f t="shared" si="222"/>
        <v>12311.951130000001</v>
      </c>
      <c r="I387" s="479">
        <f t="shared" si="222"/>
        <v>11285.951129999999</v>
      </c>
      <c r="J387" s="479">
        <f t="shared" si="222"/>
        <v>7697.6301299999996</v>
      </c>
      <c r="K387" s="479">
        <f t="shared" si="222"/>
        <v>6651.6301300000014</v>
      </c>
      <c r="L387" s="479">
        <f t="shared" si="222"/>
        <v>6128.6301299999996</v>
      </c>
      <c r="M387" s="479">
        <f t="shared" si="222"/>
        <v>5691.2765500000005</v>
      </c>
      <c r="N387" s="479">
        <f t="shared" si="222"/>
        <v>5164.2765500000005</v>
      </c>
      <c r="O387" s="479">
        <f t="shared" si="222"/>
        <v>4637.2765499999996</v>
      </c>
      <c r="P387" s="479">
        <f t="shared" si="222"/>
        <v>4110.2765500000005</v>
      </c>
      <c r="Q387" s="479">
        <f t="shared" si="222"/>
        <v>3583.2765500000005</v>
      </c>
      <c r="R387" s="479">
        <f t="shared" si="222"/>
        <v>3092.0997600000001</v>
      </c>
      <c r="S387" s="479">
        <f t="shared" si="222"/>
        <v>2810.3318600000002</v>
      </c>
      <c r="T387" s="479">
        <f t="shared" si="222"/>
        <v>2290.3318600000002</v>
      </c>
      <c r="U387" s="479">
        <f t="shared" si="222"/>
        <v>1770.33186</v>
      </c>
      <c r="V387" s="479">
        <f t="shared" si="222"/>
        <v>1770.33186</v>
      </c>
    </row>
    <row r="388" spans="1:28" s="375" customFormat="1">
      <c r="A388" s="375" t="s">
        <v>25</v>
      </c>
      <c r="B388" s="479">
        <f>'Building Info &amp; Assumptions'!$B$378</f>
        <v>19156.560851999999</v>
      </c>
      <c r="C388" s="479">
        <f t="shared" ref="C388:V388" si="223">(C326*kBTUperKWH*C$380+C334*kBTUperTherm*CO2_perNatGaskBTU+C342*kBTUperlbsSteam*CO2_perSteamkBTU+C350*kBTUperUnit_Util4*CO2_perUtil4kBTU+C358*kBTUperUnit_Util5*CO2_perUtil5kBTU+C366*kBTUperUnit_Util6*CO2_perUtil6kBTU)</f>
        <v>18931.610081999999</v>
      </c>
      <c r="D388" s="479">
        <f t="shared" si="223"/>
        <v>17952.122490000002</v>
      </c>
      <c r="E388" s="479">
        <f t="shared" si="223"/>
        <v>15964.12249</v>
      </c>
      <c r="F388" s="479">
        <f t="shared" si="223"/>
        <v>14112.183230000002</v>
      </c>
      <c r="G388" s="479">
        <f t="shared" si="223"/>
        <v>13138.183229999999</v>
      </c>
      <c r="H388" s="479">
        <f t="shared" si="223"/>
        <v>12164.183230000001</v>
      </c>
      <c r="I388" s="479">
        <f t="shared" si="223"/>
        <v>11190.183229999999</v>
      </c>
      <c r="J388" s="479">
        <f t="shared" si="223"/>
        <v>9285.8622299999988</v>
      </c>
      <c r="K388" s="479">
        <f t="shared" si="223"/>
        <v>8019.8622300000006</v>
      </c>
      <c r="L388" s="479">
        <f t="shared" si="223"/>
        <v>7386.8622299999988</v>
      </c>
      <c r="M388" s="479">
        <f t="shared" si="223"/>
        <v>6823.5086500000007</v>
      </c>
      <c r="N388" s="479">
        <f t="shared" si="223"/>
        <v>6202.5086499999998</v>
      </c>
      <c r="O388" s="479">
        <f t="shared" si="223"/>
        <v>5565.5086499999998</v>
      </c>
      <c r="P388" s="479">
        <f t="shared" si="223"/>
        <v>4928.5086500000007</v>
      </c>
      <c r="Q388" s="479">
        <f t="shared" si="223"/>
        <v>4291.5086500000007</v>
      </c>
      <c r="R388" s="479">
        <f t="shared" si="223"/>
        <v>3690.3318599999998</v>
      </c>
      <c r="S388" s="479">
        <f t="shared" si="223"/>
        <v>3298.5639600000004</v>
      </c>
      <c r="T388" s="479">
        <f t="shared" si="223"/>
        <v>2668.56396</v>
      </c>
      <c r="U388" s="479">
        <f t="shared" si="223"/>
        <v>2038.56396</v>
      </c>
      <c r="V388" s="479">
        <f t="shared" si="223"/>
        <v>2038.56396</v>
      </c>
    </row>
    <row r="389" spans="1:28" s="375" customFormat="1">
      <c r="A389" s="375" t="s">
        <v>27</v>
      </c>
      <c r="B389" s="479">
        <f>'Building Info &amp; Assumptions'!$B$378</f>
        <v>19156.560851999999</v>
      </c>
      <c r="C389" s="479">
        <f t="shared" ref="C389:V389" si="224">(C327*kBTUperKWH*C$380+C335*kBTUperTherm*CO2_perNatGaskBTU+C343*kBTUperlbsSteam*CO2_perSteamkBTU+C351*kBTUperUnit_Util4*CO2_perUtil4kBTU+C359*kBTUperUnit_Util5*CO2_perUtil5kBTU+C367*kBTUperUnit_Util6*CO2_perUtil6kBTU)</f>
        <v>19043.048957999999</v>
      </c>
      <c r="D389" s="479">
        <f t="shared" si="224"/>
        <v>18653.768909999999</v>
      </c>
      <c r="E389" s="479">
        <f t="shared" si="224"/>
        <v>16569.768909999999</v>
      </c>
      <c r="F389" s="479">
        <f t="shared" si="224"/>
        <v>15006.768910000003</v>
      </c>
      <c r="G389" s="479">
        <f t="shared" si="224"/>
        <v>13623.829649999998</v>
      </c>
      <c r="H389" s="479">
        <f t="shared" si="224"/>
        <v>12601.829650000001</v>
      </c>
      <c r="I389" s="479">
        <f t="shared" si="224"/>
        <v>10941.50865</v>
      </c>
      <c r="J389" s="479">
        <f t="shared" si="224"/>
        <v>9627.5086499999998</v>
      </c>
      <c r="K389" s="479">
        <f t="shared" si="224"/>
        <v>8313.5086500000016</v>
      </c>
      <c r="L389" s="479">
        <f t="shared" si="224"/>
        <v>7656.5086499999989</v>
      </c>
      <c r="M389" s="479">
        <f t="shared" si="224"/>
        <v>6999.5086500000007</v>
      </c>
      <c r="N389" s="479">
        <f t="shared" si="224"/>
        <v>6342.5086499999998</v>
      </c>
      <c r="O389" s="479">
        <f t="shared" si="224"/>
        <v>5685.5086499999998</v>
      </c>
      <c r="P389" s="479">
        <f t="shared" si="224"/>
        <v>5028.5086500000007</v>
      </c>
      <c r="Q389" s="479">
        <f t="shared" si="224"/>
        <v>4371.5086500000007</v>
      </c>
      <c r="R389" s="479">
        <f t="shared" si="224"/>
        <v>3750.3318599999998</v>
      </c>
      <c r="S389" s="479">
        <f t="shared" si="224"/>
        <v>3298.5639600000004</v>
      </c>
      <c r="T389" s="479">
        <f t="shared" si="224"/>
        <v>2668.56396</v>
      </c>
      <c r="U389" s="479">
        <f t="shared" si="224"/>
        <v>2038.56396</v>
      </c>
      <c r="V389" s="479">
        <f t="shared" si="224"/>
        <v>2038.56396</v>
      </c>
    </row>
    <row r="390" spans="1:28" s="375" customFormat="1">
      <c r="B390" s="484"/>
      <c r="C390" s="484"/>
      <c r="D390" s="484"/>
      <c r="E390" s="484"/>
      <c r="F390" s="484"/>
      <c r="G390" s="484"/>
      <c r="H390" s="484"/>
      <c r="I390" s="484"/>
      <c r="J390" s="484"/>
      <c r="K390" s="484"/>
      <c r="L390" s="484"/>
      <c r="M390" s="484"/>
      <c r="N390" s="484"/>
      <c r="O390" s="484"/>
      <c r="P390" s="484"/>
      <c r="Q390" s="484"/>
      <c r="R390" s="484"/>
      <c r="S390" s="484"/>
      <c r="T390" s="484"/>
      <c r="U390" s="484"/>
      <c r="V390" s="484"/>
    </row>
    <row r="391" spans="1:28" s="375" customFormat="1">
      <c r="A391" s="375" t="s">
        <v>627</v>
      </c>
      <c r="X391" s="375" t="s">
        <v>628</v>
      </c>
      <c r="Y391" s="375" t="s">
        <v>629</v>
      </c>
      <c r="Z391" s="375" t="s">
        <v>630</v>
      </c>
      <c r="AA391" s="375" t="s">
        <v>631</v>
      </c>
    </row>
    <row r="392" spans="1:28" s="375" customFormat="1">
      <c r="A392" s="375" t="str">
        <f>A372</f>
        <v>Baseline - Reactive Fines</v>
      </c>
      <c r="B392" s="479"/>
      <c r="C392" s="479">
        <f>$B385-C399-C385</f>
        <v>0</v>
      </c>
      <c r="D392" s="479">
        <f t="shared" ref="D392:V392" ca="1" si="225">$B385-D399-D385</f>
        <v>1114.4011164000003</v>
      </c>
      <c r="E392" s="479">
        <f t="shared" ca="1" si="225"/>
        <v>3078.5451164000006</v>
      </c>
      <c r="F392" s="479">
        <f t="shared" ca="1" si="225"/>
        <v>4551.6531163999971</v>
      </c>
      <c r="G392" s="479">
        <f t="shared" ca="1" si="225"/>
        <v>5533.7251164000008</v>
      </c>
      <c r="H392" s="479">
        <f t="shared" ca="1" si="225"/>
        <v>6515.7971163999973</v>
      </c>
      <c r="I392" s="479">
        <f t="shared" ca="1" si="225"/>
        <v>7155.5765163999968</v>
      </c>
      <c r="J392" s="479">
        <f t="shared" ca="1" si="225"/>
        <v>8126.7805163999983</v>
      </c>
      <c r="K392" s="479">
        <f t="shared" ca="1" si="225"/>
        <v>9097.9845163999962</v>
      </c>
      <c r="L392" s="479">
        <f t="shared" ca="1" si="225"/>
        <v>9583.5865163999988</v>
      </c>
      <c r="M392" s="479">
        <f t="shared" ca="1" si="225"/>
        <v>10069.188516399998</v>
      </c>
      <c r="N392" s="479">
        <f t="shared" ca="1" si="225"/>
        <v>10565.164516399997</v>
      </c>
      <c r="O392" s="479">
        <f t="shared" ca="1" si="225"/>
        <v>11049.284516399997</v>
      </c>
      <c r="P392" s="479">
        <f t="shared" ca="1" si="225"/>
        <v>11533.404516399998</v>
      </c>
      <c r="Q392" s="479">
        <f t="shared" ca="1" si="225"/>
        <v>12017.524516399997</v>
      </c>
      <c r="R392" s="479">
        <f t="shared" ca="1" si="225"/>
        <v>12501.644516399998</v>
      </c>
      <c r="S392" s="479">
        <f t="shared" ca="1" si="225"/>
        <v>12985.764516399999</v>
      </c>
      <c r="T392" s="479">
        <f t="shared" ca="1" si="225"/>
        <v>13469.884516399998</v>
      </c>
      <c r="U392" s="479">
        <f t="shared" ca="1" si="225"/>
        <v>13954.004516399997</v>
      </c>
      <c r="V392" s="479">
        <f t="shared" ca="1" si="225"/>
        <v>13954.004516399997</v>
      </c>
      <c r="X392" s="479">
        <f ca="1">SUM(C392:G392)</f>
        <v>14278.324465599999</v>
      </c>
      <c r="Y392" s="479">
        <f ca="1">SUM(C392:L392)</f>
        <v>54758.049647599983</v>
      </c>
      <c r="Z392" s="479">
        <f ca="1">SUM(C392:Q392)</f>
        <v>109992.61622959997</v>
      </c>
      <c r="AA392" s="479">
        <f ca="1">SUM(C392:V392)</f>
        <v>176857.91881159996</v>
      </c>
      <c r="AB392" s="479">
        <f ca="1">IF(Alternatives!$B$10=5,X392,IF(Alternatives!$B$10=10,'Operating Statements'!Y392,IF(Alternatives!$B$10=15,'Operating Statements'!Z392,IF(Alternatives!$B$10=20,'Operating Statements'!AA392,0))))</f>
        <v>176857.91881159996</v>
      </c>
    </row>
    <row r="393" spans="1:28" s="375" customFormat="1">
      <c r="A393" s="375" t="str">
        <f>A373</f>
        <v>Baseline - Offset Based Compliance</v>
      </c>
      <c r="B393" s="479"/>
      <c r="C393" s="479">
        <f t="shared" ref="C393:V393" si="226">$B386-C400-C386</f>
        <v>0</v>
      </c>
      <c r="D393" s="479">
        <f t="shared" ca="1" si="226"/>
        <v>1114.4011164000003</v>
      </c>
      <c r="E393" s="479">
        <f t="shared" ca="1" si="226"/>
        <v>3078.5451164000006</v>
      </c>
      <c r="F393" s="479">
        <f t="shared" ca="1" si="226"/>
        <v>4551.6531163999971</v>
      </c>
      <c r="G393" s="479">
        <f t="shared" ca="1" si="226"/>
        <v>5533.7251164000008</v>
      </c>
      <c r="H393" s="479">
        <f t="shared" ca="1" si="226"/>
        <v>6515.7971163999973</v>
      </c>
      <c r="I393" s="479">
        <f t="shared" ca="1" si="226"/>
        <v>7155.5765163999968</v>
      </c>
      <c r="J393" s="479">
        <f t="shared" ca="1" si="226"/>
        <v>8126.7805163999983</v>
      </c>
      <c r="K393" s="479">
        <f t="shared" ca="1" si="226"/>
        <v>9097.9845163999962</v>
      </c>
      <c r="L393" s="479">
        <f t="shared" ca="1" si="226"/>
        <v>9583.5865163999988</v>
      </c>
      <c r="M393" s="479">
        <f t="shared" ca="1" si="226"/>
        <v>10069.188516399998</v>
      </c>
      <c r="N393" s="479">
        <f t="shared" ca="1" si="226"/>
        <v>10565.164516399997</v>
      </c>
      <c r="O393" s="479">
        <f t="shared" ca="1" si="226"/>
        <v>11049.284516399997</v>
      </c>
      <c r="P393" s="479">
        <f t="shared" ca="1" si="226"/>
        <v>11533.404516399998</v>
      </c>
      <c r="Q393" s="479">
        <f t="shared" ca="1" si="226"/>
        <v>12017.524516399997</v>
      </c>
      <c r="R393" s="479">
        <f t="shared" ca="1" si="226"/>
        <v>12501.644516399998</v>
      </c>
      <c r="S393" s="479">
        <f t="shared" ca="1" si="226"/>
        <v>12985.764516399999</v>
      </c>
      <c r="T393" s="479">
        <f t="shared" ca="1" si="226"/>
        <v>13469.884516399998</v>
      </c>
      <c r="U393" s="479">
        <f t="shared" ca="1" si="226"/>
        <v>13954.004516399997</v>
      </c>
      <c r="V393" s="479">
        <f t="shared" ca="1" si="226"/>
        <v>13954.004516399997</v>
      </c>
      <c r="X393" s="479">
        <f t="shared" ref="X393:X396" ca="1" si="227">SUM(C393:G393)</f>
        <v>14278.324465599999</v>
      </c>
      <c r="Y393" s="479">
        <f t="shared" ref="Y393:Y396" ca="1" si="228">SUM(C393:L393)</f>
        <v>54758.049647599983</v>
      </c>
      <c r="Z393" s="479">
        <f t="shared" ref="Z393:Z396" ca="1" si="229">SUM(C393:Q393)</f>
        <v>109992.61622959997</v>
      </c>
      <c r="AA393" s="479">
        <f t="shared" ref="AA393:AA396" ca="1" si="230">SUM(C393:V393)</f>
        <v>176857.91881159996</v>
      </c>
      <c r="AB393" s="479">
        <f ca="1">IF(Alternatives!$B$10=5,X393,IF(Alternatives!$B$10=10,'Operating Statements'!Y393,IF(Alternatives!$B$10=15,'Operating Statements'!Z393,IF(Alternatives!$B$10=20,'Operating Statements'!AA393,0))))</f>
        <v>176857.91881159996</v>
      </c>
    </row>
    <row r="394" spans="1:28" s="375" customFormat="1">
      <c r="A394" s="375" t="str">
        <f>A374</f>
        <v>Alternative 1</v>
      </c>
      <c r="B394" s="479"/>
      <c r="C394" s="479">
        <f>$B387-C401-C387</f>
        <v>57.79245599999922</v>
      </c>
      <c r="D394" s="479">
        <f>$B387-D401-D387</f>
        <v>1000.2177719999963</v>
      </c>
      <c r="E394" s="479">
        <f t="shared" ref="D394:V396" si="231">$B387-E401-E387</f>
        <v>3379.1570319999992</v>
      </c>
      <c r="F394" s="479">
        <f t="shared" si="231"/>
        <v>4840.1570319999955</v>
      </c>
      <c r="G394" s="479">
        <f t="shared" si="231"/>
        <v>5614.3891320000002</v>
      </c>
      <c r="H394" s="479">
        <f t="shared" si="231"/>
        <v>6640.3891319999966</v>
      </c>
      <c r="I394" s="479">
        <f t="shared" si="231"/>
        <v>7666.3891319999984</v>
      </c>
      <c r="J394" s="479">
        <f t="shared" si="231"/>
        <v>11254.710131999998</v>
      </c>
      <c r="K394" s="479">
        <f t="shared" si="231"/>
        <v>12300.710131999997</v>
      </c>
      <c r="L394" s="479">
        <f t="shared" si="231"/>
        <v>12823.710131999998</v>
      </c>
      <c r="M394" s="479">
        <f t="shared" si="231"/>
        <v>13372.502587999998</v>
      </c>
      <c r="N394" s="479">
        <f t="shared" si="231"/>
        <v>13899.502587999998</v>
      </c>
      <c r="O394" s="479">
        <f t="shared" si="231"/>
        <v>14426.502587999999</v>
      </c>
      <c r="P394" s="479">
        <f t="shared" si="231"/>
        <v>14953.502587999998</v>
      </c>
      <c r="Q394" s="479">
        <f t="shared" si="231"/>
        <v>15480.502587999998</v>
      </c>
      <c r="R394" s="479">
        <f t="shared" si="231"/>
        <v>16085.191271999996</v>
      </c>
      <c r="S394" s="479">
        <f t="shared" si="231"/>
        <v>16346.228991999998</v>
      </c>
      <c r="T394" s="479">
        <f t="shared" si="231"/>
        <v>16866.228991999997</v>
      </c>
      <c r="U394" s="479">
        <f t="shared" si="231"/>
        <v>17386.228992</v>
      </c>
      <c r="V394" s="479">
        <f t="shared" si="231"/>
        <v>17386.228992</v>
      </c>
      <c r="X394" s="479">
        <f t="shared" si="227"/>
        <v>14891.71342399999</v>
      </c>
      <c r="Y394" s="479">
        <f t="shared" si="228"/>
        <v>65577.622083999973</v>
      </c>
      <c r="Z394" s="479">
        <f t="shared" si="229"/>
        <v>137710.13502399999</v>
      </c>
      <c r="AA394" s="479">
        <f t="shared" si="230"/>
        <v>221780.24226399994</v>
      </c>
      <c r="AB394" s="479">
        <f>IF(Alternatives!$B$10=5,X394,IF(Alternatives!$B$10=10,'Operating Statements'!Y394,IF(Alternatives!$B$10=15,'Operating Statements'!Z394,IF(Alternatives!$B$10=20,'Operating Statements'!AA394,0))))</f>
        <v>221780.24226399994</v>
      </c>
    </row>
    <row r="395" spans="1:28" s="375" customFormat="1">
      <c r="A395" s="375" t="str">
        <f>A375</f>
        <v>Alternative 2</v>
      </c>
      <c r="B395" s="479"/>
      <c r="C395" s="479">
        <f t="shared" ref="C395:R396" si="232">$B388-C402-C388</f>
        <v>0</v>
      </c>
      <c r="D395" s="479">
        <f t="shared" si="232"/>
        <v>1000.2177719999963</v>
      </c>
      <c r="E395" s="479">
        <f t="shared" si="232"/>
        <v>2988.2177719999981</v>
      </c>
      <c r="F395" s="479">
        <f t="shared" si="232"/>
        <v>4840.1570319999955</v>
      </c>
      <c r="G395" s="479">
        <f>$B388-G402-G388</f>
        <v>5814.1570319999992</v>
      </c>
      <c r="H395" s="479">
        <f t="shared" si="232"/>
        <v>6788.1570319999973</v>
      </c>
      <c r="I395" s="479">
        <f>$B388-I402-I388</f>
        <v>7762.1570319999992</v>
      </c>
      <c r="J395" s="479">
        <f t="shared" si="232"/>
        <v>9666.4780319999991</v>
      </c>
      <c r="K395" s="479">
        <f t="shared" si="232"/>
        <v>10932.478031999997</v>
      </c>
      <c r="L395" s="479">
        <f t="shared" si="232"/>
        <v>11565.478031999999</v>
      </c>
      <c r="M395" s="479">
        <f t="shared" si="232"/>
        <v>12240.270487999998</v>
      </c>
      <c r="N395" s="479">
        <f t="shared" si="232"/>
        <v>12861.270487999998</v>
      </c>
      <c r="O395" s="479">
        <f t="shared" si="232"/>
        <v>13498.270487999998</v>
      </c>
      <c r="P395" s="479">
        <f t="shared" si="232"/>
        <v>14135.270487999998</v>
      </c>
      <c r="Q395" s="479">
        <f t="shared" si="232"/>
        <v>14772.270487999998</v>
      </c>
      <c r="R395" s="479">
        <f t="shared" si="232"/>
        <v>15486.959171999997</v>
      </c>
      <c r="S395" s="479">
        <f t="shared" si="231"/>
        <v>15857.996891999999</v>
      </c>
      <c r="T395" s="479">
        <f t="shared" si="231"/>
        <v>16487.996891999999</v>
      </c>
      <c r="U395" s="479">
        <f t="shared" si="231"/>
        <v>17117.996891999999</v>
      </c>
      <c r="V395" s="479">
        <f t="shared" si="231"/>
        <v>17117.996891999999</v>
      </c>
      <c r="X395" s="479">
        <f t="shared" si="227"/>
        <v>14642.749607999989</v>
      </c>
      <c r="Y395" s="479">
        <f t="shared" si="228"/>
        <v>61357.497767999987</v>
      </c>
      <c r="Z395" s="479">
        <f t="shared" si="229"/>
        <v>128864.85020799996</v>
      </c>
      <c r="AA395" s="479">
        <f t="shared" si="230"/>
        <v>210933.79694799994</v>
      </c>
      <c r="AB395" s="479">
        <f>IF(Alternatives!$B$10=5,X395,IF(Alternatives!$B$10=10,'Operating Statements'!Y395,IF(Alternatives!$B$10=15,'Operating Statements'!Z395,IF(Alternatives!$B$10=20,'Operating Statements'!AA395,0))))</f>
        <v>210933.79694799994</v>
      </c>
    </row>
    <row r="396" spans="1:28" s="375" customFormat="1">
      <c r="A396" s="375" t="str">
        <f>A376</f>
        <v>Alternative 3</v>
      </c>
      <c r="B396" s="479"/>
      <c r="C396" s="479">
        <f t="shared" si="232"/>
        <v>113.5118939999993</v>
      </c>
      <c r="D396" s="479">
        <f t="shared" si="231"/>
        <v>502.79194199999984</v>
      </c>
      <c r="E396" s="479">
        <f t="shared" si="231"/>
        <v>2586.7919419999998</v>
      </c>
      <c r="F396" s="479">
        <f t="shared" si="231"/>
        <v>4149.7919419999962</v>
      </c>
      <c r="G396" s="479">
        <f t="shared" si="231"/>
        <v>5532.7312020000008</v>
      </c>
      <c r="H396" s="479">
        <f t="shared" si="231"/>
        <v>6554.7312019999972</v>
      </c>
      <c r="I396" s="479">
        <f t="shared" si="231"/>
        <v>8215.0522019999989</v>
      </c>
      <c r="J396" s="479">
        <f t="shared" si="231"/>
        <v>9529.0522019999989</v>
      </c>
      <c r="K396" s="479">
        <f t="shared" si="231"/>
        <v>10843.052201999997</v>
      </c>
      <c r="L396" s="479">
        <f t="shared" si="231"/>
        <v>11500.052201999999</v>
      </c>
      <c r="M396" s="479">
        <f t="shared" si="231"/>
        <v>12157.052201999999</v>
      </c>
      <c r="N396" s="479">
        <f t="shared" si="231"/>
        <v>12814.052201999999</v>
      </c>
      <c r="O396" s="479">
        <f t="shared" si="231"/>
        <v>13471.052201999999</v>
      </c>
      <c r="P396" s="479">
        <f t="shared" si="231"/>
        <v>14128.052201999999</v>
      </c>
      <c r="Q396" s="479">
        <f t="shared" si="231"/>
        <v>14785.052201999999</v>
      </c>
      <c r="R396" s="479">
        <f t="shared" si="231"/>
        <v>15406.228991999998</v>
      </c>
      <c r="S396" s="479">
        <f t="shared" si="231"/>
        <v>15857.996891999999</v>
      </c>
      <c r="T396" s="479">
        <f t="shared" si="231"/>
        <v>16487.996891999999</v>
      </c>
      <c r="U396" s="479">
        <f t="shared" si="231"/>
        <v>17117.996891999999</v>
      </c>
      <c r="V396" s="479">
        <f t="shared" si="231"/>
        <v>17117.996891999999</v>
      </c>
      <c r="X396" s="479">
        <f t="shared" si="227"/>
        <v>12885.618921999996</v>
      </c>
      <c r="Y396" s="479">
        <f t="shared" si="228"/>
        <v>59527.558931999985</v>
      </c>
      <c r="Z396" s="479">
        <f t="shared" si="229"/>
        <v>126882.81994199994</v>
      </c>
      <c r="AA396" s="479">
        <f t="shared" si="230"/>
        <v>208871.03650199992</v>
      </c>
      <c r="AB396" s="479">
        <f>IF(Alternatives!$B$10=5,X396,IF(Alternatives!$B$10=10,'Operating Statements'!Y396,IF(Alternatives!$B$10=15,'Operating Statements'!Z396,IF(Alternatives!$B$10=20,'Operating Statements'!AA396,0))))</f>
        <v>208871.03650199992</v>
      </c>
    </row>
    <row r="397" spans="1:28" s="375" customFormat="1">
      <c r="C397" s="572"/>
      <c r="D397" s="572"/>
      <c r="E397" s="572"/>
      <c r="F397" s="572"/>
      <c r="G397" s="572"/>
      <c r="H397" s="572"/>
      <c r="I397" s="572"/>
      <c r="J397" s="572"/>
      <c r="K397" s="572"/>
      <c r="L397" s="572"/>
      <c r="M397" s="572"/>
      <c r="N397" s="572"/>
      <c r="O397" s="572"/>
      <c r="P397" s="572"/>
      <c r="Q397" s="572"/>
      <c r="R397" s="572"/>
      <c r="S397" s="572"/>
      <c r="T397" s="572"/>
      <c r="U397" s="572"/>
      <c r="V397" s="572"/>
    </row>
    <row r="398" spans="1:28" s="375" customFormat="1">
      <c r="A398" s="375" t="s">
        <v>632</v>
      </c>
      <c r="C398" s="572"/>
      <c r="D398" s="572"/>
      <c r="E398" s="572"/>
      <c r="F398" s="572"/>
      <c r="G398" s="572"/>
      <c r="H398" s="572"/>
      <c r="I398" s="572"/>
      <c r="J398" s="572"/>
      <c r="K398" s="572"/>
      <c r="L398" s="572"/>
      <c r="M398" s="572"/>
      <c r="N398" s="572"/>
      <c r="O398" s="572"/>
      <c r="P398" s="572"/>
      <c r="Q398" s="572"/>
      <c r="R398" s="572"/>
      <c r="S398" s="572"/>
      <c r="T398" s="572"/>
      <c r="U398" s="572"/>
      <c r="V398" s="572"/>
    </row>
    <row r="399" spans="1:28" s="375" customFormat="1">
      <c r="A399" s="375" t="str">
        <f>A392</f>
        <v>Baseline - Reactive Fines</v>
      </c>
      <c r="B399" s="479"/>
      <c r="C399" s="479">
        <f>IF(C$382&gt;=Alternatives!$I$16,SUMIFS('Narrative &amp; Measures'!$CH$28:$CH$67,'Narrative &amp; Measures'!$B$28:$B$67,"Deferred Maintenance",'Narrative &amp; Measures'!$T$28:$T$67,"&gt;="&amp;(D$382-Alternatives!$I$16)),0)+IF(C$382&gt;=Alternatives!$I$15,SUMIFS('Narrative &amp; Measures'!$CH$28:$CH$67,'Narrative &amp; Measures'!$B$28:$B$67,"Immediate Repairs: Life Safety &amp; Critical",'Narrative &amp; Measures'!$T$28:$T$67,"&gt;="&amp;(D$382-Alternatives!$I$15)),0)+IF(AND(C$382&gt;=Alternatives!$I$20,Alternatives!$H$20="Yes"),'Equipment Inventory'!$AT$11,0)+IF(AND(C$382&gt;=Alternatives!$I$21,Alternatives!$H$21="Yes"),'Equipment Inventory'!$AT$12,0)+IF(AND(C$382&gt;=Alternatives!$I$22,Alternatives!$H$22="Yes"),'Equipment Inventory'!$AT$13,0)+IF(AND(C$382&gt;=Alternatives!$I$23,Alternatives!$H$23="Yes"),'Equipment Inventory'!$AT$14,0)</f>
        <v>0</v>
      </c>
      <c r="D399" s="479">
        <f>IF(D$382&gt;=Alternatives!$I$16,SUMIFS('Narrative &amp; Measures'!$CH$28:$CH$67,'Narrative &amp; Measures'!$B$28:$B$67,"Deferred Maintenance",'Narrative &amp; Measures'!$T$28:$T$67,"&gt;="&amp;(E$382-Alternatives!$I$16)),0)+IF(D$382&gt;=Alternatives!$I$15,SUMIFS('Narrative &amp; Measures'!$CH$28:$CH$67,'Narrative &amp; Measures'!$B$28:$B$67,"Immediate Repairs: Life Safety &amp; Critical",'Narrative &amp; Measures'!$T$28:$T$67,"&gt;="&amp;(E$382-Alternatives!$I$15)),0)+IF(AND(D$382&gt;=Alternatives!$I$20,Alternatives!$H$20="Yes"),'Equipment Inventory'!$AT$11,0)+IF(AND(D$382&gt;=Alternatives!$I$21,Alternatives!$H$21="Yes"),'Equipment Inventory'!$AT$12,0)+IF(AND(D$382&gt;=Alternatives!$I$22,Alternatives!$H$22="Yes"),'Equipment Inventory'!$AT$13,0)+IF(AND(D$382&gt;=Alternatives!$I$23,Alternatives!$H$23="Yes"),'Equipment Inventory'!$AT$14,0)</f>
        <v>0</v>
      </c>
      <c r="E399" s="479">
        <f>IF(E$382&gt;=Alternatives!$I$16,SUMIFS('Narrative &amp; Measures'!$CH$28:$CH$67,'Narrative &amp; Measures'!$B$28:$B$67,"Deferred Maintenance",'Narrative &amp; Measures'!$T$28:$T$67,"&gt;="&amp;(F$382-Alternatives!$I$16)),0)+IF(E$382&gt;=Alternatives!$I$15,SUMIFS('Narrative &amp; Measures'!$CH$28:$CH$67,'Narrative &amp; Measures'!$B$28:$B$67,"Immediate Repairs: Life Safety &amp; Critical",'Narrative &amp; Measures'!$T$28:$T$67,"&gt;="&amp;(F$382-Alternatives!$I$15)),0)+IF(AND(E$382&gt;=Alternatives!$I$20,Alternatives!$H$20="Yes"),'Equipment Inventory'!$AT$11,0)+IF(AND(E$382&gt;=Alternatives!$I$21,Alternatives!$H$21="Yes"),'Equipment Inventory'!$AT$12,0)+IF(AND(E$382&gt;=Alternatives!$I$22,Alternatives!$H$22="Yes"),'Equipment Inventory'!$AT$13,0)+IF(AND(E$382&gt;=Alternatives!$I$23,Alternatives!$H$23="Yes"),'Equipment Inventory'!$AT$14,0)</f>
        <v>0</v>
      </c>
      <c r="F399" s="479">
        <f>IF(F$382&gt;=Alternatives!$I$16,SUMIFS('Narrative &amp; Measures'!$CH$28:$CH$67,'Narrative &amp; Measures'!$B$28:$B$67,"Deferred Maintenance",'Narrative &amp; Measures'!$T$28:$T$67,"&gt;="&amp;(G$382-Alternatives!$I$16)),0)+IF(F$382&gt;=Alternatives!$I$15,SUMIFS('Narrative &amp; Measures'!$CH$28:$CH$67,'Narrative &amp; Measures'!$B$28:$B$67,"Immediate Repairs: Life Safety &amp; Critical",'Narrative &amp; Measures'!$T$28:$T$67,"&gt;="&amp;(G$382-Alternatives!$I$15)),0)+IF(AND(F$382&gt;=Alternatives!$I$20,Alternatives!$H$20="Yes"),'Equipment Inventory'!$AT$11,0)+IF(AND(F$382&gt;=Alternatives!$I$21,Alternatives!$H$21="Yes"),'Equipment Inventory'!$AT$12,0)+IF(AND(F$382&gt;=Alternatives!$I$22,Alternatives!$H$22="Yes"),'Equipment Inventory'!$AT$13,0)+IF(AND(F$382&gt;=Alternatives!$I$23,Alternatives!$H$23="Yes"),'Equipment Inventory'!$AT$14,0)</f>
        <v>0</v>
      </c>
      <c r="G399" s="479">
        <f>IF(G$382&gt;=Alternatives!$I$16,SUMIFS('Narrative &amp; Measures'!$CH$28:$CH$67,'Narrative &amp; Measures'!$B$28:$B$67,"Deferred Maintenance",'Narrative &amp; Measures'!$T$28:$T$67,"&gt;="&amp;(H$382-Alternatives!$I$16)),0)+IF(G$382&gt;=Alternatives!$I$15,SUMIFS('Narrative &amp; Measures'!$CH$28:$CH$67,'Narrative &amp; Measures'!$B$28:$B$67,"Immediate Repairs: Life Safety &amp; Critical",'Narrative &amp; Measures'!$T$28:$T$67,"&gt;="&amp;(H$382-Alternatives!$I$15)),0)+IF(AND(G$382&gt;=Alternatives!$I$20,Alternatives!$H$20="Yes"),'Equipment Inventory'!$AT$11,0)+IF(AND(G$382&gt;=Alternatives!$I$21,Alternatives!$H$21="Yes"),'Equipment Inventory'!$AT$12,0)+IF(AND(G$382&gt;=Alternatives!$I$22,Alternatives!$H$22="Yes"),'Equipment Inventory'!$AT$13,0)+IF(AND(G$382&gt;=Alternatives!$I$23,Alternatives!$H$23="Yes"),'Equipment Inventory'!$AT$14,0)</f>
        <v>0</v>
      </c>
      <c r="H399" s="479">
        <f>IF(H$382&gt;=Alternatives!$I$16,SUMIFS('Narrative &amp; Measures'!$CH$28:$CH$67,'Narrative &amp; Measures'!$B$28:$B$67,"Deferred Maintenance",'Narrative &amp; Measures'!$T$28:$T$67,"&gt;="&amp;(I$382-Alternatives!$I$16)),0)+IF(H$382&gt;=Alternatives!$I$15,SUMIFS('Narrative &amp; Measures'!$CH$28:$CH$67,'Narrative &amp; Measures'!$B$28:$B$67,"Immediate Repairs: Life Safety &amp; Critical",'Narrative &amp; Measures'!$T$28:$T$67,"&gt;="&amp;(I$382-Alternatives!$I$15)),0)+IF(AND(H$382&gt;=Alternatives!$I$20,Alternatives!$H$20="Yes"),'Equipment Inventory'!$AT$11,0)+IF(AND(H$382&gt;=Alternatives!$I$21,Alternatives!$H$21="Yes"),'Equipment Inventory'!$AT$12,0)+IF(AND(H$382&gt;=Alternatives!$I$22,Alternatives!$H$22="Yes"),'Equipment Inventory'!$AT$13,0)+IF(AND(H$382&gt;=Alternatives!$I$23,Alternatives!$H$23="Yes"),'Equipment Inventory'!$AT$14,0)</f>
        <v>0</v>
      </c>
      <c r="I399" s="479">
        <f ca="1">IF(I$382&gt;=Alternatives!$I$16,SUMIFS('Narrative &amp; Measures'!$CH$28:$CH$67,'Narrative &amp; Measures'!$B$28:$B$67,"Deferred Maintenance",'Narrative &amp; Measures'!$T$28:$T$67,"&gt;="&amp;(J$382-Alternatives!$I$16)),0)+IF(I$382&gt;=Alternatives!$I$15,SUMIFS('Narrative &amp; Measures'!$CH$28:$CH$67,'Narrative &amp; Measures'!$B$28:$B$67,"Immediate Repairs: Life Safety &amp; Critical",'Narrative &amp; Measures'!$T$28:$T$67,"&gt;="&amp;(J$382-Alternatives!$I$15)),0)+IF(AND(I$382&gt;=Alternatives!$I$20,Alternatives!$H$20="Yes"),'Equipment Inventory'!$AT$11,0)+IF(AND(I$382&gt;=Alternatives!$I$21,Alternatives!$H$21="Yes"),'Equipment Inventory'!$AT$12,0)+IF(AND(I$382&gt;=Alternatives!$I$22,Alternatives!$H$22="Yes"),'Equipment Inventory'!$AT$13,0)+IF(AND(I$382&gt;=Alternatives!$I$23,Alternatives!$H$23="Yes"),'Equipment Inventory'!$AT$14,0)</f>
        <v>418.36860000000001</v>
      </c>
      <c r="J399" s="479">
        <f ca="1">IF(J$382&gt;=Alternatives!$I$16,SUMIFS('Narrative &amp; Measures'!$CH$28:$CH$67,'Narrative &amp; Measures'!$B$28:$B$67,"Deferred Maintenance",'Narrative &amp; Measures'!$T$28:$T$67,"&gt;="&amp;(K$382-Alternatives!$I$16)),0)+IF(J$382&gt;=Alternatives!$I$15,SUMIFS('Narrative &amp; Measures'!$CH$28:$CH$67,'Narrative &amp; Measures'!$B$28:$B$67,"Immediate Repairs: Life Safety &amp; Critical",'Narrative &amp; Measures'!$T$28:$T$67,"&gt;="&amp;(K$382-Alternatives!$I$15)),0)+IF(AND(J$382&gt;=Alternatives!$I$20,Alternatives!$H$20="Yes"),'Equipment Inventory'!$AT$11,0)+IF(AND(J$382&gt;=Alternatives!$I$21,Alternatives!$H$21="Yes"),'Equipment Inventory'!$AT$12,0)+IF(AND(J$382&gt;=Alternatives!$I$22,Alternatives!$H$22="Yes"),'Equipment Inventory'!$AT$13,0)+IF(AND(J$382&gt;=Alternatives!$I$23,Alternatives!$H$23="Yes"),'Equipment Inventory'!$AT$14,0)</f>
        <v>418.36860000000001</v>
      </c>
      <c r="K399" s="479">
        <f ca="1">IF(K$382&gt;=Alternatives!$I$16,SUMIFS('Narrative &amp; Measures'!$CH$28:$CH$67,'Narrative &amp; Measures'!$B$28:$B$67,"Deferred Maintenance",'Narrative &amp; Measures'!$T$28:$T$67,"&gt;="&amp;(L$382-Alternatives!$I$16)),0)+IF(K$382&gt;=Alternatives!$I$15,SUMIFS('Narrative &amp; Measures'!$CH$28:$CH$67,'Narrative &amp; Measures'!$B$28:$B$67,"Immediate Repairs: Life Safety &amp; Critical",'Narrative &amp; Measures'!$T$28:$T$67,"&gt;="&amp;(L$382-Alternatives!$I$15)),0)+IF(AND(K$382&gt;=Alternatives!$I$20,Alternatives!$H$20="Yes"),'Equipment Inventory'!$AT$11,0)+IF(AND(K$382&gt;=Alternatives!$I$21,Alternatives!$H$21="Yes"),'Equipment Inventory'!$AT$12,0)+IF(AND(K$382&gt;=Alternatives!$I$22,Alternatives!$H$22="Yes"),'Equipment Inventory'!$AT$13,0)+IF(AND(K$382&gt;=Alternatives!$I$23,Alternatives!$H$23="Yes"),'Equipment Inventory'!$AT$14,0)</f>
        <v>418.36860000000001</v>
      </c>
      <c r="L399" s="479">
        <f ca="1">IF(L$382&gt;=Alternatives!$I$16,SUMIFS('Narrative &amp; Measures'!$CH$28:$CH$67,'Narrative &amp; Measures'!$B$28:$B$67,"Deferred Maintenance",'Narrative &amp; Measures'!$T$28:$T$67,"&gt;="&amp;(M$382-Alternatives!$I$16)),0)+IF(L$382&gt;=Alternatives!$I$15,SUMIFS('Narrative &amp; Measures'!$CH$28:$CH$67,'Narrative &amp; Measures'!$B$28:$B$67,"Immediate Repairs: Life Safety &amp; Critical",'Narrative &amp; Measures'!$T$28:$T$67,"&gt;="&amp;(M$382-Alternatives!$I$15)),0)+IF(AND(L$382&gt;=Alternatives!$I$20,Alternatives!$H$20="Yes"),'Equipment Inventory'!$AT$11,0)+IF(AND(L$382&gt;=Alternatives!$I$21,Alternatives!$H$21="Yes"),'Equipment Inventory'!$AT$12,0)+IF(AND(L$382&gt;=Alternatives!$I$22,Alternatives!$H$22="Yes"),'Equipment Inventory'!$AT$13,0)+IF(AND(L$382&gt;=Alternatives!$I$23,Alternatives!$H$23="Yes"),'Equipment Inventory'!$AT$14,0)</f>
        <v>418.36860000000001</v>
      </c>
      <c r="M399" s="479">
        <f ca="1">IF(M$382&gt;=Alternatives!$I$16,SUMIFS('Narrative &amp; Measures'!$CH$28:$CH$67,'Narrative &amp; Measures'!$B$28:$B$67,"Deferred Maintenance",'Narrative &amp; Measures'!$T$28:$T$67,"&gt;="&amp;(N$382-Alternatives!$I$16)),0)+IF(M$382&gt;=Alternatives!$I$15,SUMIFS('Narrative &amp; Measures'!$CH$28:$CH$67,'Narrative &amp; Measures'!$B$28:$B$67,"Immediate Repairs: Life Safety &amp; Critical",'Narrative &amp; Measures'!$T$28:$T$67,"&gt;="&amp;(N$382-Alternatives!$I$15)),0)+IF(AND(M$382&gt;=Alternatives!$I$20,Alternatives!$H$20="Yes"),'Equipment Inventory'!$AT$11,0)+IF(AND(M$382&gt;=Alternatives!$I$21,Alternatives!$H$21="Yes"),'Equipment Inventory'!$AT$12,0)+IF(AND(M$382&gt;=Alternatives!$I$22,Alternatives!$H$22="Yes"),'Equipment Inventory'!$AT$13,0)+IF(AND(M$382&gt;=Alternatives!$I$23,Alternatives!$H$23="Yes"),'Equipment Inventory'!$AT$14,0)</f>
        <v>418.36860000000001</v>
      </c>
      <c r="N399" s="479">
        <f ca="1">IF(N$382&gt;=Alternatives!$I$16,SUMIFS('Narrative &amp; Measures'!$CH$28:$CH$67,'Narrative &amp; Measures'!$B$28:$B$67,"Deferred Maintenance",'Narrative &amp; Measures'!$T$28:$T$67,"&gt;="&amp;(O$382-Alternatives!$I$16)),0)+IF(N$382&gt;=Alternatives!$I$15,SUMIFS('Narrative &amp; Measures'!$CH$28:$CH$67,'Narrative &amp; Measures'!$B$28:$B$67,"Immediate Repairs: Life Safety &amp; Critical",'Narrative &amp; Measures'!$T$28:$T$67,"&gt;="&amp;(O$382-Alternatives!$I$15)),0)+IF(AND(N$382&gt;=Alternatives!$I$20,Alternatives!$H$20="Yes"),'Equipment Inventory'!$AT$11,0)+IF(AND(N$382&gt;=Alternatives!$I$21,Alternatives!$H$21="Yes"),'Equipment Inventory'!$AT$12,0)+IF(AND(N$382&gt;=Alternatives!$I$22,Alternatives!$H$22="Yes"),'Equipment Inventory'!$AT$13,0)+IF(AND(N$382&gt;=Alternatives!$I$23,Alternatives!$H$23="Yes"),'Equipment Inventory'!$AT$14,0)</f>
        <v>418.36860000000001</v>
      </c>
      <c r="O399" s="479">
        <f ca="1">IF(O$382&gt;=Alternatives!$I$16,SUMIFS('Narrative &amp; Measures'!$CH$28:$CH$67,'Narrative &amp; Measures'!$B$28:$B$67,"Deferred Maintenance",'Narrative &amp; Measures'!$T$28:$T$67,"&gt;="&amp;(P$382-Alternatives!$I$16)),0)+IF(O$382&gt;=Alternatives!$I$15,SUMIFS('Narrative &amp; Measures'!$CH$28:$CH$67,'Narrative &amp; Measures'!$B$28:$B$67,"Immediate Repairs: Life Safety &amp; Critical",'Narrative &amp; Measures'!$T$28:$T$67,"&gt;="&amp;(P$382-Alternatives!$I$15)),0)+IF(AND(O$382&gt;=Alternatives!$I$20,Alternatives!$H$20="Yes"),'Equipment Inventory'!$AT$11,0)+IF(AND(O$382&gt;=Alternatives!$I$21,Alternatives!$H$21="Yes"),'Equipment Inventory'!$AT$12,0)+IF(AND(O$382&gt;=Alternatives!$I$22,Alternatives!$H$22="Yes"),'Equipment Inventory'!$AT$13,0)+IF(AND(O$382&gt;=Alternatives!$I$23,Alternatives!$H$23="Yes"),'Equipment Inventory'!$AT$14,0)</f>
        <v>418.36860000000001</v>
      </c>
      <c r="P399" s="479">
        <f ca="1">IF(P$382&gt;=Alternatives!$I$16,SUMIFS('Narrative &amp; Measures'!$CH$28:$CH$67,'Narrative &amp; Measures'!$B$28:$B$67,"Deferred Maintenance",'Narrative &amp; Measures'!$T$28:$T$67,"&gt;="&amp;(Q$382-Alternatives!$I$16)),0)+IF(P$382&gt;=Alternatives!$I$15,SUMIFS('Narrative &amp; Measures'!$CH$28:$CH$67,'Narrative &amp; Measures'!$B$28:$B$67,"Immediate Repairs: Life Safety &amp; Critical",'Narrative &amp; Measures'!$T$28:$T$67,"&gt;="&amp;(Q$382-Alternatives!$I$15)),0)+IF(AND(P$382&gt;=Alternatives!$I$20,Alternatives!$H$20="Yes"),'Equipment Inventory'!$AT$11,0)+IF(AND(P$382&gt;=Alternatives!$I$21,Alternatives!$H$21="Yes"),'Equipment Inventory'!$AT$12,0)+IF(AND(P$382&gt;=Alternatives!$I$22,Alternatives!$H$22="Yes"),'Equipment Inventory'!$AT$13,0)+IF(AND(P$382&gt;=Alternatives!$I$23,Alternatives!$H$23="Yes"),'Equipment Inventory'!$AT$14,0)</f>
        <v>418.36860000000001</v>
      </c>
      <c r="Q399" s="479">
        <f ca="1">IF(Q$382&gt;=Alternatives!$I$16,SUMIFS('Narrative &amp; Measures'!$CH$28:$CH$67,'Narrative &amp; Measures'!$B$28:$B$67,"Deferred Maintenance",'Narrative &amp; Measures'!$T$28:$T$67,"&gt;="&amp;(R$382-Alternatives!$I$16)),0)+IF(Q$382&gt;=Alternatives!$I$15,SUMIFS('Narrative &amp; Measures'!$CH$28:$CH$67,'Narrative &amp; Measures'!$B$28:$B$67,"Immediate Repairs: Life Safety &amp; Critical",'Narrative &amp; Measures'!$T$28:$T$67,"&gt;="&amp;(R$382-Alternatives!$I$15)),0)+IF(AND(Q$382&gt;=Alternatives!$I$20,Alternatives!$H$20="Yes"),'Equipment Inventory'!$AT$11,0)+IF(AND(Q$382&gt;=Alternatives!$I$21,Alternatives!$H$21="Yes"),'Equipment Inventory'!$AT$12,0)+IF(AND(Q$382&gt;=Alternatives!$I$22,Alternatives!$H$22="Yes"),'Equipment Inventory'!$AT$13,0)+IF(AND(Q$382&gt;=Alternatives!$I$23,Alternatives!$H$23="Yes"),'Equipment Inventory'!$AT$14,0)</f>
        <v>418.36860000000001</v>
      </c>
      <c r="R399" s="479">
        <f ca="1">IF(R$382&gt;=Alternatives!$I$16,SUMIFS('Narrative &amp; Measures'!$CH$28:$CH$67,'Narrative &amp; Measures'!$B$28:$B$67,"Deferred Maintenance",'Narrative &amp; Measures'!$T$28:$T$67,"&gt;="&amp;(S$382-Alternatives!$I$16)),0)+IF(R$382&gt;=Alternatives!$I$15,SUMIFS('Narrative &amp; Measures'!$CH$28:$CH$67,'Narrative &amp; Measures'!$B$28:$B$67,"Immediate Repairs: Life Safety &amp; Critical",'Narrative &amp; Measures'!$T$28:$T$67,"&gt;="&amp;(S$382-Alternatives!$I$15)),0)+IF(AND(R$382&gt;=Alternatives!$I$20,Alternatives!$H$20="Yes"),'Equipment Inventory'!$AT$11,0)+IF(AND(R$382&gt;=Alternatives!$I$21,Alternatives!$H$21="Yes"),'Equipment Inventory'!$AT$12,0)+IF(AND(R$382&gt;=Alternatives!$I$22,Alternatives!$H$22="Yes"),'Equipment Inventory'!$AT$13,0)+IF(AND(R$382&gt;=Alternatives!$I$23,Alternatives!$H$23="Yes"),'Equipment Inventory'!$AT$14,0)</f>
        <v>418.36860000000001</v>
      </c>
      <c r="S399" s="479">
        <f ca="1">IF(S$382&gt;=Alternatives!$I$16,SUMIFS('Narrative &amp; Measures'!$CH$28:$CH$67,'Narrative &amp; Measures'!$B$28:$B$67,"Deferred Maintenance",'Narrative &amp; Measures'!$T$28:$T$67,"&gt;="&amp;(T$382-Alternatives!$I$16)),0)+IF(S$382&gt;=Alternatives!$I$15,SUMIFS('Narrative &amp; Measures'!$CH$28:$CH$67,'Narrative &amp; Measures'!$B$28:$B$67,"Immediate Repairs: Life Safety &amp; Critical",'Narrative &amp; Measures'!$T$28:$T$67,"&gt;="&amp;(T$382-Alternatives!$I$15)),0)+IF(AND(S$382&gt;=Alternatives!$I$20,Alternatives!$H$20="Yes"),'Equipment Inventory'!$AT$11,0)+IF(AND(S$382&gt;=Alternatives!$I$21,Alternatives!$H$21="Yes"),'Equipment Inventory'!$AT$12,0)+IF(AND(S$382&gt;=Alternatives!$I$22,Alternatives!$H$22="Yes"),'Equipment Inventory'!$AT$13,0)+IF(AND(S$382&gt;=Alternatives!$I$23,Alternatives!$H$23="Yes"),'Equipment Inventory'!$AT$14,0)</f>
        <v>418.36860000000001</v>
      </c>
      <c r="T399" s="479">
        <f ca="1">IF(T$382&gt;=Alternatives!$I$16,SUMIFS('Narrative &amp; Measures'!$CH$28:$CH$67,'Narrative &amp; Measures'!$B$28:$B$67,"Deferred Maintenance",'Narrative &amp; Measures'!$T$28:$T$67,"&gt;="&amp;(U$382-Alternatives!$I$16)),0)+IF(T$382&gt;=Alternatives!$I$15,SUMIFS('Narrative &amp; Measures'!$CH$28:$CH$67,'Narrative &amp; Measures'!$B$28:$B$67,"Immediate Repairs: Life Safety &amp; Critical",'Narrative &amp; Measures'!$T$28:$T$67,"&gt;="&amp;(U$382-Alternatives!$I$15)),0)+IF(AND(T$382&gt;=Alternatives!$I$20,Alternatives!$H$20="Yes"),'Equipment Inventory'!$AT$11,0)+IF(AND(T$382&gt;=Alternatives!$I$21,Alternatives!$H$21="Yes"),'Equipment Inventory'!$AT$12,0)+IF(AND(T$382&gt;=Alternatives!$I$22,Alternatives!$H$22="Yes"),'Equipment Inventory'!$AT$13,0)+IF(AND(T$382&gt;=Alternatives!$I$23,Alternatives!$H$23="Yes"),'Equipment Inventory'!$AT$14,0)</f>
        <v>418.36860000000001</v>
      </c>
      <c r="U399" s="479">
        <f ca="1">IF(U$382&gt;=Alternatives!$I$16,SUMIFS('Narrative &amp; Measures'!$CH$28:$CH$67,'Narrative &amp; Measures'!$B$28:$B$67,"Deferred Maintenance",'Narrative &amp; Measures'!$T$28:$T$67,"&gt;="&amp;(V$382-Alternatives!$I$16)),0)+IF(U$382&gt;=Alternatives!$I$15,SUMIFS('Narrative &amp; Measures'!$CH$28:$CH$67,'Narrative &amp; Measures'!$B$28:$B$67,"Immediate Repairs: Life Safety &amp; Critical",'Narrative &amp; Measures'!$T$28:$T$67,"&gt;="&amp;(V$382-Alternatives!$I$15)),0)+IF(AND(U$382&gt;=Alternatives!$I$20,Alternatives!$H$20="Yes"),'Equipment Inventory'!$AT$11,0)+IF(AND(U$382&gt;=Alternatives!$I$21,Alternatives!$H$21="Yes"),'Equipment Inventory'!$AT$12,0)+IF(AND(U$382&gt;=Alternatives!$I$22,Alternatives!$H$22="Yes"),'Equipment Inventory'!$AT$13,0)+IF(AND(U$382&gt;=Alternatives!$I$23,Alternatives!$H$23="Yes"),'Equipment Inventory'!$AT$14,0)</f>
        <v>418.36860000000001</v>
      </c>
      <c r="V399" s="479">
        <f ca="1">IF(V$382&gt;=Alternatives!$I$16,SUMIFS('Narrative &amp; Measures'!$CH$28:$CH$67,'Narrative &amp; Measures'!$B$28:$B$67,"Deferred Maintenance",'Narrative &amp; Measures'!$T$28:$T$67,"&gt;="&amp;(W$382-Alternatives!$I$16)),0)+IF(V$382&gt;=Alternatives!$I$15,SUMIFS('Narrative &amp; Measures'!$CH$28:$CH$67,'Narrative &amp; Measures'!$B$28:$B$67,"Immediate Repairs: Life Safety &amp; Critical",'Narrative &amp; Measures'!$T$28:$T$67,"&gt;="&amp;(W$382-Alternatives!$I$15)),0)+IF(AND(V$382&gt;=Alternatives!$I$20,Alternatives!$H$20="Yes"),'Equipment Inventory'!$AT$11,0)+IF(AND(V$382&gt;=Alternatives!$I$21,Alternatives!$H$21="Yes"),'Equipment Inventory'!$AT$12,0)+IF(AND(V$382&gt;=Alternatives!$I$22,Alternatives!$H$22="Yes"),'Equipment Inventory'!$AT$13,0)+IF(AND(V$382&gt;=Alternatives!$I$23,Alternatives!$H$23="Yes"),'Equipment Inventory'!$AT$14,0)</f>
        <v>418.36860000000001</v>
      </c>
      <c r="X399" s="479">
        <f>SUM(C399:G399)</f>
        <v>0</v>
      </c>
      <c r="Y399" s="479">
        <f ca="1">SUM(C399:L399)</f>
        <v>1673.4744000000001</v>
      </c>
      <c r="Z399" s="479">
        <f ca="1">SUM(C399:Q399)</f>
        <v>3765.317399999999</v>
      </c>
      <c r="AA399" s="479">
        <f ca="1">SUM(C399:V399)</f>
        <v>5857.1603999999979</v>
      </c>
      <c r="AB399" s="479">
        <f ca="1">IF(Alternatives!$B$10=5,X399,IF(Alternatives!$B$10=10,'Operating Statements'!Y399,IF(Alternatives!$B$10=15,'Operating Statements'!Z399,IF(Alternatives!$B$10=20,'Operating Statements'!AA399,0))))</f>
        <v>5857.1603999999979</v>
      </c>
    </row>
    <row r="400" spans="1:28" s="375" customFormat="1">
      <c r="A400" s="375" t="str">
        <f t="shared" ref="A400:A403" si="233">A393</f>
        <v>Baseline - Offset Based Compliance</v>
      </c>
      <c r="B400" s="479"/>
      <c r="C400" s="479">
        <f>C399</f>
        <v>0</v>
      </c>
      <c r="D400" s="479">
        <f t="shared" ref="D400:V400" si="234">D399</f>
        <v>0</v>
      </c>
      <c r="E400" s="479">
        <f t="shared" si="234"/>
        <v>0</v>
      </c>
      <c r="F400" s="479">
        <f t="shared" si="234"/>
        <v>0</v>
      </c>
      <c r="G400" s="479">
        <f t="shared" si="234"/>
        <v>0</v>
      </c>
      <c r="H400" s="479">
        <f t="shared" si="234"/>
        <v>0</v>
      </c>
      <c r="I400" s="479">
        <f t="shared" ca="1" si="234"/>
        <v>418.36860000000001</v>
      </c>
      <c r="J400" s="479">
        <f t="shared" ca="1" si="234"/>
        <v>418.36860000000001</v>
      </c>
      <c r="K400" s="479">
        <f t="shared" ca="1" si="234"/>
        <v>418.36860000000001</v>
      </c>
      <c r="L400" s="479">
        <f t="shared" ca="1" si="234"/>
        <v>418.36860000000001</v>
      </c>
      <c r="M400" s="479">
        <f t="shared" ca="1" si="234"/>
        <v>418.36860000000001</v>
      </c>
      <c r="N400" s="479">
        <f t="shared" ca="1" si="234"/>
        <v>418.36860000000001</v>
      </c>
      <c r="O400" s="479">
        <f t="shared" ca="1" si="234"/>
        <v>418.36860000000001</v>
      </c>
      <c r="P400" s="479">
        <f t="shared" ca="1" si="234"/>
        <v>418.36860000000001</v>
      </c>
      <c r="Q400" s="479">
        <f t="shared" ca="1" si="234"/>
        <v>418.36860000000001</v>
      </c>
      <c r="R400" s="479">
        <f t="shared" ca="1" si="234"/>
        <v>418.36860000000001</v>
      </c>
      <c r="S400" s="479">
        <f t="shared" ca="1" si="234"/>
        <v>418.36860000000001</v>
      </c>
      <c r="T400" s="479">
        <f t="shared" ca="1" si="234"/>
        <v>418.36860000000001</v>
      </c>
      <c r="U400" s="479">
        <f t="shared" ca="1" si="234"/>
        <v>418.36860000000001</v>
      </c>
      <c r="V400" s="479">
        <f t="shared" ca="1" si="234"/>
        <v>418.36860000000001</v>
      </c>
      <c r="X400" s="479">
        <f t="shared" ref="X400:X403" si="235">SUM(C400:G400)</f>
        <v>0</v>
      </c>
      <c r="Y400" s="479">
        <f t="shared" ref="Y400:Y403" ca="1" si="236">SUM(C400:L400)</f>
        <v>1673.4744000000001</v>
      </c>
      <c r="Z400" s="479">
        <f t="shared" ref="Z400:Z403" ca="1" si="237">SUM(C400:Q400)</f>
        <v>3765.317399999999</v>
      </c>
      <c r="AA400" s="479">
        <f t="shared" ref="AA400:AA403" ca="1" si="238">SUM(C400:V400)</f>
        <v>5857.1603999999979</v>
      </c>
      <c r="AB400" s="479">
        <f ca="1">IF(Alternatives!$B$10=5,X400,IF(Alternatives!$B$10=10,'Operating Statements'!Y400,IF(Alternatives!$B$10=15,'Operating Statements'!Z400,IF(Alternatives!$B$10=20,'Operating Statements'!AA400,0))))</f>
        <v>5857.1603999999979</v>
      </c>
    </row>
    <row r="401" spans="1:28" s="375" customFormat="1">
      <c r="A401" s="375" t="str">
        <f t="shared" si="233"/>
        <v>Alternative 1</v>
      </c>
      <c r="B401" s="479"/>
      <c r="C401" s="479" cm="1">
        <f t="array" ref="C401">SUM(SUMIFS('Narrative &amp; Measures'!$CI$28:$CI$67,'Narrative &amp; Measures'!$A$28:$A$67,Alternatives!$C$38:$C$57,'Narrative &amp; Measures'!$BV$28:$BV$67,"&lt;="&amp;C$370,'Narrative &amp; Measures'!$CD$28:$CD$67,"&gt;="&amp;C$370))</f>
        <v>224.95077000000001</v>
      </c>
      <c r="D401" s="479" cm="1">
        <f t="array" ref="D401">SUM(SUMIFS('Narrative &amp; Measures'!$CI$28:$CI$67,'Narrative &amp; Measures'!$A$28:$A$67,Alternatives!$C$38:$C$57,'Narrative &amp; Measures'!$BV$28:$BV$67,"&lt;="&amp;D$370,'Narrative &amp; Measures'!$CD$28:$CD$67,"&gt;="&amp;E$370))</f>
        <v>204.22059000000004</v>
      </c>
      <c r="E401" s="479" cm="1">
        <f t="array" ref="E401">SUM(SUMIFS('Narrative &amp; Measures'!$CI$28:$CI$67,'Narrative &amp; Measures'!$A$28:$A$67,Alternatives!$C$38:$C$57,'Narrative &amp; Measures'!$BV$28:$BV$67,"&lt;="&amp;E$370,'Narrative &amp; Measures'!$CD$28:$CD$67,"&gt;="&amp;F$370))</f>
        <v>204.22059000000004</v>
      </c>
      <c r="F401" s="479" cm="1">
        <f t="array" ref="F401">SUM(SUMIFS('Narrative &amp; Measures'!$CI$28:$CI$67,'Narrative &amp; Measures'!$A$28:$A$67,Alternatives!$C$38:$C$57,'Narrative &amp; Measures'!$BV$28:$BV$67,"&lt;="&amp;F$370,'Narrative &amp; Measures'!$CD$28:$CD$67,"&gt;="&amp;G$370))</f>
        <v>204.22059000000004</v>
      </c>
      <c r="G401" s="479" cm="1">
        <f t="array" ref="G401">SUM(SUMIFS('Narrative &amp; Measures'!$CI$28:$CI$67,'Narrative &amp; Measures'!$A$28:$A$67,Alternatives!$C$38:$C$57,'Narrative &amp; Measures'!$BV$28:$BV$67,"&lt;="&amp;G$370,'Narrative &amp; Measures'!$CD$28:$CD$67,"&gt;="&amp;H$370))</f>
        <v>204.22059000000004</v>
      </c>
      <c r="H401" s="479" cm="1">
        <f t="array" ref="H401">SUM(SUMIFS('Narrative &amp; Measures'!$CI$28:$CI$67,'Narrative &amp; Measures'!$A$28:$A$67,Alternatives!$C$38:$C$57,'Narrative &amp; Measures'!$BV$28:$BV$67,"&lt;="&amp;H$370,'Narrative &amp; Measures'!$CD$28:$CD$67,"&gt;="&amp;I$370))</f>
        <v>204.22059000000004</v>
      </c>
      <c r="I401" s="479" cm="1">
        <f t="array" ref="I401">SUM(SUMIFS('Narrative &amp; Measures'!$CI$28:$CI$67,'Narrative &amp; Measures'!$A$28:$A$67,Alternatives!$C$38:$C$57,'Narrative &amp; Measures'!$BV$28:$BV$67,"&lt;="&amp;I$370,'Narrative &amp; Measures'!$CD$28:$CD$67,"&gt;="&amp;J$370))</f>
        <v>204.22059000000004</v>
      </c>
      <c r="J401" s="479" cm="1">
        <f t="array" ref="J401">SUM(SUMIFS('Narrative &amp; Measures'!$CI$28:$CI$67,'Narrative &amp; Measures'!$A$28:$A$67,Alternatives!$C$38:$C$57,'Narrative &amp; Measures'!$BV$28:$BV$67,"&lt;="&amp;J$370,'Narrative &amp; Measures'!$CD$28:$CD$67,"&gt;="&amp;K$370))</f>
        <v>204.22059000000004</v>
      </c>
      <c r="K401" s="479" cm="1">
        <f t="array" ref="K401">SUM(SUMIFS('Narrative &amp; Measures'!$CI$28:$CI$67,'Narrative &amp; Measures'!$A$28:$A$67,Alternatives!$C$38:$C$57,'Narrative &amp; Measures'!$BV$28:$BV$67,"&lt;="&amp;K$370,'Narrative &amp; Measures'!$CD$28:$CD$67,"&gt;="&amp;L$370))</f>
        <v>204.22059000000004</v>
      </c>
      <c r="L401" s="479" cm="1">
        <f t="array" ref="L401">SUM(SUMIFS('Narrative &amp; Measures'!$CI$28:$CI$67,'Narrative &amp; Measures'!$A$28:$A$67,Alternatives!$C$38:$C$57,'Narrative &amp; Measures'!$BV$28:$BV$67,"&lt;="&amp;L$370,'Narrative &amp; Measures'!$CD$28:$CD$67,"&gt;="&amp;M$370))</f>
        <v>204.22059000000004</v>
      </c>
      <c r="M401" s="479" cm="1">
        <f t="array" ref="M401">SUM(SUMIFS('Narrative &amp; Measures'!$CI$28:$CI$67,'Narrative &amp; Measures'!$A$28:$A$67,Alternatives!$C$38:$C$57,'Narrative &amp; Measures'!$BV$28:$BV$67,"&lt;="&amp;M$370,'Narrative &amp; Measures'!$CD$28:$CD$67,"&gt;="&amp;N$370))</f>
        <v>92.781714000000036</v>
      </c>
      <c r="N401" s="479" cm="1">
        <f t="array" ref="N401">SUM(SUMIFS('Narrative &amp; Measures'!$CI$28:$CI$67,'Narrative &amp; Measures'!$A$28:$A$67,Alternatives!$C$38:$C$57,'Narrative &amp; Measures'!$BV$28:$BV$67,"&lt;="&amp;N$370,'Narrative &amp; Measures'!$CD$28:$CD$67,"&gt;="&amp;O$370))</f>
        <v>92.781714000000036</v>
      </c>
      <c r="O401" s="479" cm="1">
        <f t="array" ref="O401">SUM(SUMIFS('Narrative &amp; Measures'!$CI$28:$CI$67,'Narrative &amp; Measures'!$A$28:$A$67,Alternatives!$C$38:$C$57,'Narrative &amp; Measures'!$BV$28:$BV$67,"&lt;="&amp;O$370,'Narrative &amp; Measures'!$CD$28:$CD$67,"&gt;="&amp;P$370))</f>
        <v>92.781714000000036</v>
      </c>
      <c r="P401" s="479" cm="1">
        <f t="array" ref="P401">SUM(SUMIFS('Narrative &amp; Measures'!$CI$28:$CI$67,'Narrative &amp; Measures'!$A$28:$A$67,Alternatives!$C$38:$C$57,'Narrative &amp; Measures'!$BV$28:$BV$67,"&lt;="&amp;P$370,'Narrative &amp; Measures'!$CD$28:$CD$67,"&gt;="&amp;Q$370))</f>
        <v>92.781714000000036</v>
      </c>
      <c r="Q401" s="479" cm="1">
        <f t="array" ref="Q401">SUM(SUMIFS('Narrative &amp; Measures'!$CI$28:$CI$67,'Narrative &amp; Measures'!$A$28:$A$67,Alternatives!$C$38:$C$57,'Narrative &amp; Measures'!$BV$28:$BV$67,"&lt;="&amp;Q$370,'Narrative &amp; Measures'!$CD$28:$CD$67,"&gt;="&amp;R$370))</f>
        <v>92.781714000000036</v>
      </c>
      <c r="R401" s="479" cm="1">
        <f t="array" ref="R401">SUM(SUMIFS('Narrative &amp; Measures'!$CI$28:$CI$67,'Narrative &amp; Measures'!$A$28:$A$67,Alternatives!$C$38:$C$57,'Narrative &amp; Measures'!$BV$28:$BV$67,"&lt;="&amp;R$370,'Narrative &amp; Measures'!$CD$28:$CD$67,"&gt;="&amp;S$370))</f>
        <v>-20.730179999999962</v>
      </c>
      <c r="S401" s="479" cm="1">
        <f t="array" ref="S401">SUM(SUMIFS('Narrative &amp; Measures'!$CI$28:$CI$67,'Narrative &amp; Measures'!$A$28:$A$67,Alternatives!$C$38:$C$57,'Narrative &amp; Measures'!$BV$28:$BV$67,"&lt;="&amp;S$370,'Narrative &amp; Measures'!$CD$28:$CD$67,"&gt;="&amp;T$370))</f>
        <v>0</v>
      </c>
      <c r="T401" s="479" cm="1">
        <f t="array" ref="T401">SUM(SUMIFS('Narrative &amp; Measures'!$CI$28:$CI$67,'Narrative &amp; Measures'!$A$28:$A$67,Alternatives!$C$38:$C$57,'Narrative &amp; Measures'!$BV$28:$BV$67,"&lt;="&amp;T$370,'Narrative &amp; Measures'!$CD$28:$CD$67,"&gt;="&amp;U$370))</f>
        <v>0</v>
      </c>
      <c r="U401" s="479" cm="1">
        <f t="array" ref="U401">SUM(SUMIFS('Narrative &amp; Measures'!$CI$28:$CI$67,'Narrative &amp; Measures'!$A$28:$A$67,Alternatives!$C$38:$C$57,'Narrative &amp; Measures'!$BV$28:$BV$67,"&lt;="&amp;U$370,'Narrative &amp; Measures'!$CD$28:$CD$67,"&gt;="&amp;V$370))</f>
        <v>0</v>
      </c>
      <c r="V401" s="479" cm="1">
        <f t="array" ref="V401">SUM(SUMIFS('Narrative &amp; Measures'!$CI$28:$CI$67,'Narrative &amp; Measures'!$A$28:$A$67,Alternatives!$C$38:$C$57,'Narrative &amp; Measures'!$BV$28:$BV$67,"&lt;="&amp;V$370,'Narrative &amp; Measures'!$CD$28:$CD$67,"&gt;="&amp;W$370))</f>
        <v>0</v>
      </c>
      <c r="X401" s="479">
        <f t="shared" si="235"/>
        <v>1041.8331300000002</v>
      </c>
      <c r="Y401" s="479">
        <f t="shared" si="236"/>
        <v>2062.9360800000009</v>
      </c>
      <c r="Z401" s="479">
        <f t="shared" si="237"/>
        <v>2526.8446500000018</v>
      </c>
      <c r="AA401" s="479">
        <f t="shared" si="238"/>
        <v>2506.1144700000018</v>
      </c>
      <c r="AB401" s="479">
        <f>IF(Alternatives!$B$10=5,X401,IF(Alternatives!$B$10=10,'Operating Statements'!Y401,IF(Alternatives!$B$10=15,'Operating Statements'!Z401,IF(Alternatives!$B$10=20,'Operating Statements'!AA401,0))))</f>
        <v>2506.1144700000018</v>
      </c>
    </row>
    <row r="402" spans="1:28" s="375" customFormat="1">
      <c r="A402" s="375" t="str">
        <f t="shared" si="233"/>
        <v>Alternative 2</v>
      </c>
      <c r="B402" s="479"/>
      <c r="C402" s="479" cm="1">
        <f t="array" ref="C402">SUM(SUMIFS('Narrative &amp; Measures'!$CJ$28:$CJ$67,'Narrative &amp; Measures'!$A$28:$A$67,Alternatives!$C$38:$C$57,'Narrative &amp; Measures'!$BV$28:$BV$67,"&lt;="&amp;C$370,'Narrative &amp; Measures'!$CD$28:$CD$67,"&gt;="&amp;D$370))</f>
        <v>224.95077000000001</v>
      </c>
      <c r="D402" s="479" cm="1">
        <f t="array" ref="D402">SUM(SUMIFS('Narrative &amp; Measures'!$CJ$28:$CJ$67,'Narrative &amp; Measures'!$A$28:$A$67,Alternatives!$C$38:$C$57,'Narrative &amp; Measures'!$BV$28:$BV$67,"&lt;="&amp;D$370,'Narrative &amp; Measures'!$CD$28:$CD$67,"&gt;="&amp;E$370))</f>
        <v>204.22059000000004</v>
      </c>
      <c r="E402" s="479" cm="1">
        <f t="array" ref="E402">SUM(SUMIFS('Narrative &amp; Measures'!$CJ$28:$CJ$67,'Narrative &amp; Measures'!$A$28:$A$67,Alternatives!$C$38:$C$57,'Narrative &amp; Measures'!$BV$28:$BV$67,"&lt;="&amp;E$370,'Narrative &amp; Measures'!$CD$28:$CD$67,"&gt;="&amp;F$370))</f>
        <v>204.22059000000004</v>
      </c>
      <c r="F402" s="479" cm="1">
        <f t="array" ref="F402">SUM(SUMIFS('Narrative &amp; Measures'!$CJ$28:$CJ$67,'Narrative &amp; Measures'!$A$28:$A$67,Alternatives!$C$38:$C$57,'Narrative &amp; Measures'!$BV$28:$BV$67,"&lt;="&amp;F$370,'Narrative &amp; Measures'!$CD$28:$CD$67,"&gt;="&amp;G$370))</f>
        <v>204.22059000000004</v>
      </c>
      <c r="G402" s="479" cm="1">
        <f t="array" ref="G402">SUM(SUMIFS('Narrative &amp; Measures'!$CJ$28:$CJ$67,'Narrative &amp; Measures'!$A$28:$A$67,Alternatives!$C$38:$C$57,'Narrative &amp; Measures'!$BV$28:$BV$67,"&lt;="&amp;G$370,'Narrative &amp; Measures'!$CD$28:$CD$67,"&gt;="&amp;H$370))</f>
        <v>204.22059000000004</v>
      </c>
      <c r="H402" s="479" cm="1">
        <f t="array" ref="H402">SUM(SUMIFS('Narrative &amp; Measures'!$CJ$28:$CJ$67,'Narrative &amp; Measures'!$A$28:$A$67,Alternatives!$C$38:$C$57,'Narrative &amp; Measures'!$BV$28:$BV$67,"&lt;="&amp;H$370,'Narrative &amp; Measures'!$CD$28:$CD$67,"&gt;="&amp;I$370))</f>
        <v>204.22059000000004</v>
      </c>
      <c r="I402" s="479" cm="1">
        <f t="array" ref="I402">SUM(SUMIFS('Narrative &amp; Measures'!$CJ$28:$CJ$67,'Narrative &amp; Measures'!$A$28:$A$67,Alternatives!$C$38:$C$57,'Narrative &amp; Measures'!$BV$28:$BV$67,"&lt;="&amp;I$370,'Narrative &amp; Measures'!$CD$28:$CD$67,"&gt;="&amp;J$370))</f>
        <v>204.22059000000004</v>
      </c>
      <c r="J402" s="479" cm="1">
        <f t="array" ref="J402">SUM(SUMIFS('Narrative &amp; Measures'!$CJ$28:$CJ$67,'Narrative &amp; Measures'!$A$28:$A$67,Alternatives!$C$38:$C$57,'Narrative &amp; Measures'!$BV$28:$BV$67,"&lt;="&amp;J$370,'Narrative &amp; Measures'!$CD$28:$CD$67,"&gt;="&amp;K$370))</f>
        <v>204.22059000000004</v>
      </c>
      <c r="K402" s="479" cm="1">
        <f t="array" ref="K402">SUM(SUMIFS('Narrative &amp; Measures'!$CJ$28:$CJ$67,'Narrative &amp; Measures'!$A$28:$A$67,Alternatives!$C$38:$C$57,'Narrative &amp; Measures'!$BV$28:$BV$67,"&lt;="&amp;K$370,'Narrative &amp; Measures'!$CD$28:$CD$67,"&gt;="&amp;L$370))</f>
        <v>204.22059000000004</v>
      </c>
      <c r="L402" s="479" cm="1">
        <f t="array" ref="L402">SUM(SUMIFS('Narrative &amp; Measures'!$CJ$28:$CJ$67,'Narrative &amp; Measures'!$A$28:$A$67,Alternatives!$C$38:$C$57,'Narrative &amp; Measures'!$BV$28:$BV$67,"&lt;="&amp;L$370,'Narrative &amp; Measures'!$CD$28:$CD$67,"&gt;="&amp;M$370))</f>
        <v>204.22059000000004</v>
      </c>
      <c r="M402" s="479" cm="1">
        <f t="array" ref="M402">SUM(SUMIFS('Narrative &amp; Measures'!$CJ$28:$CJ$67,'Narrative &amp; Measures'!$A$28:$A$67,Alternatives!$C$38:$C$57,'Narrative &amp; Measures'!$BV$28:$BV$67,"&lt;="&amp;M$370,'Narrative &amp; Measures'!$CD$28:$CD$67,"&gt;="&amp;N$370))</f>
        <v>92.781714000000036</v>
      </c>
      <c r="N402" s="479" cm="1">
        <f t="array" ref="N402">SUM(SUMIFS('Narrative &amp; Measures'!$CJ$28:$CJ$67,'Narrative &amp; Measures'!$A$28:$A$67,Alternatives!$C$38:$C$57,'Narrative &amp; Measures'!$BV$28:$BV$67,"&lt;="&amp;N$370,'Narrative &amp; Measures'!$CD$28:$CD$67,"&gt;="&amp;O$370))</f>
        <v>92.781714000000036</v>
      </c>
      <c r="O402" s="479" cm="1">
        <f t="array" ref="O402">SUM(SUMIFS('Narrative &amp; Measures'!$CJ$28:$CJ$67,'Narrative &amp; Measures'!$A$28:$A$67,Alternatives!$C$38:$C$57,'Narrative &amp; Measures'!$BV$28:$BV$67,"&lt;="&amp;O$370,'Narrative &amp; Measures'!$CD$28:$CD$67,"&gt;="&amp;P$370))</f>
        <v>92.781714000000036</v>
      </c>
      <c r="P402" s="479" cm="1">
        <f t="array" ref="P402">SUM(SUMIFS('Narrative &amp; Measures'!$CJ$28:$CJ$67,'Narrative &amp; Measures'!$A$28:$A$67,Alternatives!$C$38:$C$57,'Narrative &amp; Measures'!$BV$28:$BV$67,"&lt;="&amp;P$370,'Narrative &amp; Measures'!$CD$28:$CD$67,"&gt;="&amp;Q$370))</f>
        <v>92.781714000000036</v>
      </c>
      <c r="Q402" s="479" cm="1">
        <f t="array" ref="Q402">SUM(SUMIFS('Narrative &amp; Measures'!$CJ$28:$CJ$67,'Narrative &amp; Measures'!$A$28:$A$67,Alternatives!$C$38:$C$57,'Narrative &amp; Measures'!$BV$28:$BV$67,"&lt;="&amp;Q$370,'Narrative &amp; Measures'!$CD$28:$CD$67,"&gt;="&amp;R$370))</f>
        <v>92.781714000000036</v>
      </c>
      <c r="R402" s="479" cm="1">
        <f t="array" ref="R402">SUM(SUMIFS('Narrative &amp; Measures'!$CJ$28:$CJ$67,'Narrative &amp; Measures'!$A$28:$A$67,Alternatives!$C$38:$C$57,'Narrative &amp; Measures'!$BV$28:$BV$67,"&lt;="&amp;R$370,'Narrative &amp; Measures'!$CD$28:$CD$67,"&gt;="&amp;S$370))</f>
        <v>-20.730179999999962</v>
      </c>
      <c r="S402" s="479" cm="1">
        <f t="array" ref="S402">SUM(SUMIFS('Narrative &amp; Measures'!$CJ$28:$CJ$67,'Narrative &amp; Measures'!$A$28:$A$67,Alternatives!$C$38:$C$57,'Narrative &amp; Measures'!$BV$28:$BV$67,"&lt;="&amp;S$370,'Narrative &amp; Measures'!$CD$28:$CD$67,"&gt;="&amp;T$370))</f>
        <v>0</v>
      </c>
      <c r="T402" s="479" cm="1">
        <f t="array" ref="T402">SUM(SUMIFS('Narrative &amp; Measures'!$CJ$28:$CJ$67,'Narrative &amp; Measures'!$A$28:$A$67,Alternatives!$C$38:$C$57,'Narrative &amp; Measures'!$BV$28:$BV$67,"&lt;="&amp;T$370,'Narrative &amp; Measures'!$CD$28:$CD$67,"&gt;="&amp;U$370))</f>
        <v>0</v>
      </c>
      <c r="U402" s="479" cm="1">
        <f t="array" ref="U402">SUM(SUMIFS('Narrative &amp; Measures'!$CJ$28:$CJ$67,'Narrative &amp; Measures'!$A$28:$A$67,Alternatives!$C$38:$C$57,'Narrative &amp; Measures'!$BV$28:$BV$67,"&lt;="&amp;U$370,'Narrative &amp; Measures'!$CD$28:$CD$67,"&gt;="&amp;V$370))</f>
        <v>0</v>
      </c>
      <c r="V402" s="479" cm="1">
        <f t="array" ref="V402">SUM(SUMIFS('Narrative &amp; Measures'!$CJ$28:$CJ$67,'Narrative &amp; Measures'!$A$28:$A$67,Alternatives!$C$38:$C$57,'Narrative &amp; Measures'!$BV$28:$BV$67,"&lt;="&amp;V$370,'Narrative &amp; Measures'!$CD$28:$CD$67,"&gt;="&amp;W$370))</f>
        <v>0</v>
      </c>
      <c r="W402" s="484"/>
      <c r="X402" s="479">
        <f t="shared" si="235"/>
        <v>1041.8331300000002</v>
      </c>
      <c r="Y402" s="479">
        <f t="shared" si="236"/>
        <v>2062.9360800000009</v>
      </c>
      <c r="Z402" s="479">
        <f t="shared" si="237"/>
        <v>2526.8446500000018</v>
      </c>
      <c r="AA402" s="479">
        <f t="shared" si="238"/>
        <v>2506.1144700000018</v>
      </c>
      <c r="AB402" s="479">
        <f>IF(Alternatives!$B$10=5,X402,IF(Alternatives!$B$10=10,'Operating Statements'!Y402,IF(Alternatives!$B$10=15,'Operating Statements'!Z402,IF(Alternatives!$B$10=20,'Operating Statements'!AA402,0))))</f>
        <v>2506.1144700000018</v>
      </c>
    </row>
    <row r="403" spans="1:28" s="375" customFormat="1">
      <c r="A403" s="375" t="str">
        <f t="shared" si="233"/>
        <v>Alternative 3</v>
      </c>
      <c r="B403" s="479"/>
      <c r="C403" s="479" cm="1">
        <f t="array" ref="C403">SUM(SUMIFS('Narrative &amp; Measures'!$CK$28:$CK$67,'Narrative &amp; Measures'!$A$28:$A$67,Alternatives!$C$38:$C$57,'Narrative &amp; Measures'!$BV$28:$BV$67,"&lt;="&amp;C$370,'Narrative &amp; Measures'!$CD$28:$CD$67,"&gt;="&amp;D$370))</f>
        <v>0</v>
      </c>
      <c r="D403" s="479" cm="1">
        <f t="array" ref="D403">SUM(SUMIFS('Narrative &amp; Measures'!$CK$28:$CK$67,'Narrative &amp; Measures'!$A$28:$A$67,Alternatives!$C$38:$C$57,'Narrative &amp; Measures'!$BV$28:$BV$67,"&lt;="&amp;D$370,'Narrative &amp; Measures'!$CD$28:$CD$67,"&gt;="&amp;E$370))</f>
        <v>0</v>
      </c>
      <c r="E403" s="479" cm="1">
        <f t="array" ref="E403">SUM(SUMIFS('Narrative &amp; Measures'!$CK$28:$CK$67,'Narrative &amp; Measures'!$A$28:$A$67,Alternatives!$C$38:$C$57,'Narrative &amp; Measures'!$BV$28:$BV$67,"&lt;="&amp;E$370,'Narrative &amp; Measures'!$CD$28:$CD$67,"&gt;="&amp;F$370))</f>
        <v>0</v>
      </c>
      <c r="F403" s="479" cm="1">
        <f t="array" ref="F403">SUM(SUMIFS('Narrative &amp; Measures'!$CK$28:$CK$67,'Narrative &amp; Measures'!$A$28:$A$67,Alternatives!$C$38:$C$57,'Narrative &amp; Measures'!$BV$28:$BV$67,"&lt;="&amp;F$370,'Narrative &amp; Measures'!$CD$28:$CD$67,"&gt;="&amp;G$370))</f>
        <v>0</v>
      </c>
      <c r="G403" s="479" cm="1">
        <f t="array" ref="G403">SUM(SUMIFS('Narrative &amp; Measures'!$CK$28:$CK$67,'Narrative &amp; Measures'!$A$28:$A$67,Alternatives!$C$38:$C$57,'Narrative &amp; Measures'!$BV$28:$BV$67,"&lt;="&amp;G$370,'Narrative &amp; Measures'!$CD$28:$CD$67,"&gt;="&amp;H$370))</f>
        <v>0</v>
      </c>
      <c r="H403" s="479" cm="1">
        <f t="array" ref="H403">SUM(SUMIFS('Narrative &amp; Measures'!$CK$28:$CK$67,'Narrative &amp; Measures'!$A$28:$A$67,Alternatives!$C$38:$C$57,'Narrative &amp; Measures'!$BV$28:$BV$67,"&lt;="&amp;H$370,'Narrative &amp; Measures'!$CD$28:$CD$67,"&gt;="&amp;I$370))</f>
        <v>0</v>
      </c>
      <c r="I403" s="479" cm="1">
        <f t="array" ref="I403">SUM(SUMIFS('Narrative &amp; Measures'!$CK$28:$CK$67,'Narrative &amp; Measures'!$A$28:$A$67,Alternatives!$C$38:$C$57,'Narrative &amp; Measures'!$BV$28:$BV$67,"&lt;="&amp;I$370,'Narrative &amp; Measures'!$CD$28:$CD$67,"&gt;="&amp;J$370))</f>
        <v>0</v>
      </c>
      <c r="J403" s="479" cm="1">
        <f t="array" ref="J403">SUM(SUMIFS('Narrative &amp; Measures'!$CK$28:$CK$67,'Narrative &amp; Measures'!$A$28:$A$67,Alternatives!$C$38:$C$57,'Narrative &amp; Measures'!$BV$28:$BV$67,"&lt;="&amp;J$370,'Narrative &amp; Measures'!$CD$28:$CD$67,"&gt;="&amp;K$370))</f>
        <v>0</v>
      </c>
      <c r="K403" s="479" cm="1">
        <f t="array" ref="K403">SUM(SUMIFS('Narrative &amp; Measures'!$CK$28:$CK$67,'Narrative &amp; Measures'!$A$28:$A$67,Alternatives!$C$38:$C$57,'Narrative &amp; Measures'!$BV$28:$BV$67,"&lt;="&amp;K$370,'Narrative &amp; Measures'!$CD$28:$CD$67,"&gt;="&amp;L$370))</f>
        <v>0</v>
      </c>
      <c r="L403" s="479" cm="1">
        <f t="array" ref="L403">SUM(SUMIFS('Narrative &amp; Measures'!$CK$28:$CK$67,'Narrative &amp; Measures'!$A$28:$A$67,Alternatives!$C$38:$C$57,'Narrative &amp; Measures'!$BV$28:$BV$67,"&lt;="&amp;L$370,'Narrative &amp; Measures'!$CD$28:$CD$67,"&gt;="&amp;M$370))</f>
        <v>0</v>
      </c>
      <c r="M403" s="479" cm="1">
        <f t="array" ref="M403">SUM(SUMIFS('Narrative &amp; Measures'!$CK$28:$CK$67,'Narrative &amp; Measures'!$A$28:$A$67,Alternatives!$C$38:$C$57,'Narrative &amp; Measures'!$BV$28:$BV$67,"&lt;="&amp;M$370,'Narrative &amp; Measures'!$CD$28:$CD$67,"&gt;="&amp;N$370))</f>
        <v>0</v>
      </c>
      <c r="N403" s="479" cm="1">
        <f t="array" ref="N403">SUM(SUMIFS('Narrative &amp; Measures'!$CK$28:$CK$67,'Narrative &amp; Measures'!$A$28:$A$67,Alternatives!$C$38:$C$57,'Narrative &amp; Measures'!$BV$28:$BV$67,"&lt;="&amp;N$370,'Narrative &amp; Measures'!$CD$28:$CD$67,"&gt;="&amp;O$370))</f>
        <v>0</v>
      </c>
      <c r="O403" s="479" cm="1">
        <f t="array" ref="O403">SUM(SUMIFS('Narrative &amp; Measures'!$CK$28:$CK$67,'Narrative &amp; Measures'!$A$28:$A$67,Alternatives!$C$38:$C$57,'Narrative &amp; Measures'!$BV$28:$BV$67,"&lt;="&amp;O$370,'Narrative &amp; Measures'!$CD$28:$CD$67,"&gt;="&amp;P$370))</f>
        <v>0</v>
      </c>
      <c r="P403" s="479" cm="1">
        <f t="array" ref="P403">SUM(SUMIFS('Narrative &amp; Measures'!$CK$28:$CK$67,'Narrative &amp; Measures'!$A$28:$A$67,Alternatives!$C$38:$C$57,'Narrative &amp; Measures'!$BV$28:$BV$67,"&lt;="&amp;P$370,'Narrative &amp; Measures'!$CD$28:$CD$67,"&gt;="&amp;Q$370))</f>
        <v>0</v>
      </c>
      <c r="Q403" s="479" cm="1">
        <f t="array" ref="Q403">SUM(SUMIFS('Narrative &amp; Measures'!$CK$28:$CK$67,'Narrative &amp; Measures'!$A$28:$A$67,Alternatives!$C$38:$C$57,'Narrative &amp; Measures'!$BV$28:$BV$67,"&lt;="&amp;Q$370,'Narrative &amp; Measures'!$CD$28:$CD$67,"&gt;="&amp;R$370))</f>
        <v>0</v>
      </c>
      <c r="R403" s="479" cm="1">
        <f t="array" ref="R403">SUM(SUMIFS('Narrative &amp; Measures'!$CK$28:$CK$67,'Narrative &amp; Measures'!$A$28:$A$67,Alternatives!$C$38:$C$57,'Narrative &amp; Measures'!$BV$28:$BV$67,"&lt;="&amp;R$370,'Narrative &amp; Measures'!$CD$28:$CD$67,"&gt;="&amp;S$370))</f>
        <v>0</v>
      </c>
      <c r="S403" s="479" cm="1">
        <f t="array" ref="S403">SUM(SUMIFS('Narrative &amp; Measures'!$CK$28:$CK$67,'Narrative &amp; Measures'!$A$28:$A$67,Alternatives!$C$38:$C$57,'Narrative &amp; Measures'!$BV$28:$BV$67,"&lt;="&amp;S$370,'Narrative &amp; Measures'!$CD$28:$CD$67,"&gt;="&amp;T$370))</f>
        <v>0</v>
      </c>
      <c r="T403" s="479" cm="1">
        <f t="array" ref="T403">SUM(SUMIFS('Narrative &amp; Measures'!$CK$28:$CK$67,'Narrative &amp; Measures'!$A$28:$A$67,Alternatives!$C$38:$C$57,'Narrative &amp; Measures'!$BV$28:$BV$67,"&lt;="&amp;T$370,'Narrative &amp; Measures'!$CD$28:$CD$67,"&gt;="&amp;U$370))</f>
        <v>0</v>
      </c>
      <c r="U403" s="479" cm="1">
        <f t="array" ref="U403">SUM(SUMIFS('Narrative &amp; Measures'!$CK$28:$CK$67,'Narrative &amp; Measures'!$A$28:$A$67,Alternatives!$C$38:$C$57,'Narrative &amp; Measures'!$BV$28:$BV$67,"&lt;="&amp;U$370,'Narrative &amp; Measures'!$CD$28:$CD$67,"&gt;="&amp;V$370))</f>
        <v>0</v>
      </c>
      <c r="V403" s="479" cm="1">
        <f t="array" ref="V403">SUM(SUMIFS('Narrative &amp; Measures'!$CK$28:$CK$67,'Narrative &amp; Measures'!$A$28:$A$67,Alternatives!$C$38:$C$57,'Narrative &amp; Measures'!$BV$28:$BV$67,"&lt;="&amp;V$370,'Narrative &amp; Measures'!$CD$28:$CD$67,"&gt;="&amp;W$370))</f>
        <v>0</v>
      </c>
      <c r="W403" s="484"/>
      <c r="X403" s="479">
        <f t="shared" si="235"/>
        <v>0</v>
      </c>
      <c r="Y403" s="479">
        <f t="shared" si="236"/>
        <v>0</v>
      </c>
      <c r="Z403" s="479">
        <f t="shared" si="237"/>
        <v>0</v>
      </c>
      <c r="AA403" s="479">
        <f t="shared" si="238"/>
        <v>0</v>
      </c>
      <c r="AB403" s="479">
        <f>IF(Alternatives!$B$10=5,X403,IF(Alternatives!$B$10=10,'Operating Statements'!Y403,IF(Alternatives!$B$10=15,'Operating Statements'!Z403,IF(Alternatives!$B$10=20,'Operating Statements'!AA403,0))))</f>
        <v>0</v>
      </c>
    </row>
    <row r="404" spans="1:28" s="375" customFormat="1"/>
    <row r="405" spans="1:28" s="375" customFormat="1">
      <c r="A405" s="375" t="s">
        <v>581</v>
      </c>
      <c r="B405" s="375">
        <v>0</v>
      </c>
      <c r="C405" s="375">
        <v>1</v>
      </c>
      <c r="D405" s="375">
        <v>2</v>
      </c>
      <c r="E405" s="375">
        <v>3</v>
      </c>
      <c r="F405" s="375">
        <v>4</v>
      </c>
      <c r="G405" s="375">
        <v>5</v>
      </c>
      <c r="H405" s="375">
        <v>6</v>
      </c>
      <c r="I405" s="375">
        <v>7</v>
      </c>
      <c r="J405" s="375">
        <v>8</v>
      </c>
      <c r="K405" s="375">
        <v>9</v>
      </c>
      <c r="L405" s="375">
        <v>10</v>
      </c>
      <c r="M405" s="375">
        <v>11</v>
      </c>
      <c r="N405" s="375">
        <v>12</v>
      </c>
      <c r="O405" s="375">
        <v>13</v>
      </c>
      <c r="P405" s="375">
        <v>14</v>
      </c>
      <c r="Q405" s="375">
        <v>15</v>
      </c>
      <c r="R405" s="375">
        <v>16</v>
      </c>
      <c r="S405" s="375">
        <v>17</v>
      </c>
      <c r="T405" s="375">
        <v>18</v>
      </c>
      <c r="U405" s="375">
        <v>19</v>
      </c>
      <c r="V405" s="375">
        <v>20</v>
      </c>
    </row>
    <row r="406" spans="1:28" s="375" customFormat="1">
      <c r="B406" s="479">
        <f>C406-1</f>
        <v>2020</v>
      </c>
      <c r="C406" s="479">
        <f>Alternatives!B11</f>
        <v>2021</v>
      </c>
      <c r="D406" s="479">
        <f>C406+1</f>
        <v>2022</v>
      </c>
      <c r="E406" s="479">
        <f t="shared" ref="E406" si="239">D406+1</f>
        <v>2023</v>
      </c>
      <c r="F406" s="479">
        <f t="shared" ref="F406" si="240">E406+1</f>
        <v>2024</v>
      </c>
      <c r="G406" s="479">
        <f t="shared" ref="G406" si="241">F406+1</f>
        <v>2025</v>
      </c>
      <c r="H406" s="479">
        <f t="shared" ref="H406" si="242">G406+1</f>
        <v>2026</v>
      </c>
      <c r="I406" s="479">
        <f t="shared" ref="I406" si="243">H406+1</f>
        <v>2027</v>
      </c>
      <c r="J406" s="479">
        <f t="shared" ref="J406" si="244">I406+1</f>
        <v>2028</v>
      </c>
      <c r="K406" s="479">
        <f t="shared" ref="K406" si="245">J406+1</f>
        <v>2029</v>
      </c>
      <c r="L406" s="479">
        <f t="shared" ref="L406" si="246">K406+1</f>
        <v>2030</v>
      </c>
      <c r="M406" s="479">
        <f t="shared" ref="M406" si="247">L406+1</f>
        <v>2031</v>
      </c>
      <c r="N406" s="479">
        <f t="shared" ref="N406" si="248">M406+1</f>
        <v>2032</v>
      </c>
      <c r="O406" s="479">
        <f t="shared" ref="O406" si="249">N406+1</f>
        <v>2033</v>
      </c>
      <c r="P406" s="479">
        <f t="shared" ref="P406" si="250">O406+1</f>
        <v>2034</v>
      </c>
      <c r="Q406" s="479">
        <f t="shared" ref="Q406" si="251">P406+1</f>
        <v>2035</v>
      </c>
      <c r="R406" s="479">
        <f t="shared" ref="R406" si="252">Q406+1</f>
        <v>2036</v>
      </c>
      <c r="S406" s="479">
        <f t="shared" ref="S406" si="253">R406+1</f>
        <v>2037</v>
      </c>
      <c r="T406" s="479">
        <f t="shared" ref="T406" si="254">S406+1</f>
        <v>2038</v>
      </c>
      <c r="U406" s="479">
        <f t="shared" ref="U406" si="255">T406+1</f>
        <v>2039</v>
      </c>
      <c r="V406" s="479">
        <f t="shared" ref="V406" si="256">U406+1</f>
        <v>2040</v>
      </c>
    </row>
    <row r="407" spans="1:28" s="375" customFormat="1">
      <c r="A407" s="375" t="str">
        <f>A285</f>
        <v>Baseline - Reactive Fines</v>
      </c>
      <c r="B407" s="484"/>
      <c r="C407" s="401">
        <f>IF(C$406&gt;=2024,'Building Info &amp; Assumptions'!$B$99*'Operating Statements'!C427,0)</f>
        <v>0</v>
      </c>
      <c r="D407" s="401">
        <f>IF(D$406&gt;=2024,'Building Info &amp; Assumptions'!$B$99*'Operating Statements'!D427,0)</f>
        <v>0</v>
      </c>
      <c r="E407" s="401">
        <f>IF(E$406&gt;=2024,'Building Info &amp; Assumptions'!$B$99*'Operating Statements'!E427,0)</f>
        <v>0</v>
      </c>
      <c r="F407" s="401">
        <f ca="1">IF(F$406&gt;=2024,'Building Info &amp; Assumptions'!$B$99*'Operating Statements'!F427,0)</f>
        <v>309247.27314080042</v>
      </c>
      <c r="G407" s="401">
        <f ca="1">IF(G$406&gt;=2024,'Building Info &amp; Assumptions'!$B$99*'Operating Statements'!G427,0)</f>
        <v>46051.977140799427</v>
      </c>
      <c r="H407" s="401">
        <f ca="1">IF(H$406&gt;=2024,'Building Info &amp; Assumptions'!$B$99*'Operating Statements'!H427,0)</f>
        <v>0</v>
      </c>
      <c r="I407" s="401">
        <f ca="1">IF(I$406&gt;=2024,'Building Info &amp; Assumptions'!$B$99*'Operating Statements'!I427,0)</f>
        <v>0</v>
      </c>
      <c r="J407" s="401">
        <f ca="1">IF(J$406&gt;=2024,'Building Info &amp; Assumptions'!$B$99*'Operating Statements'!J427,0)</f>
        <v>0</v>
      </c>
      <c r="K407" s="401">
        <f ca="1">IF(K$406&gt;=2024,'Building Info &amp; Assumptions'!$B$99*'Operating Statements'!K427,0)</f>
        <v>746435.67314080021</v>
      </c>
      <c r="L407" s="401">
        <f ca="1">IF(L$406&gt;=2024,'Building Info &amp; Assumptions'!$B$99*'Operating Statements'!L427,0)</f>
        <v>616294.3371407995</v>
      </c>
      <c r="M407" s="401">
        <f ca="1">IF(M$406&gt;=2024,'Building Info &amp; Assumptions'!$B$99*'Operating Statements'!M427,0)</f>
        <v>486153.00114079984</v>
      </c>
      <c r="N407" s="401">
        <f ca="1">IF(N$406&gt;=2024,'Building Info &amp; Assumptions'!$B$99*'Operating Statements'!N427,0)</f>
        <v>353231.43314079993</v>
      </c>
      <c r="O407" s="401">
        <f ca="1">IF(O$406&gt;=2024,'Building Info &amp; Assumptions'!$B$99*'Operating Statements'!O427,0)</f>
        <v>223487.27314079995</v>
      </c>
      <c r="P407" s="401">
        <f ca="1">IF(P$406&gt;=2024,'Building Info &amp; Assumptions'!$B$99*'Operating Statements'!P427,0)</f>
        <v>1930883.1131408</v>
      </c>
      <c r="Q407" s="401">
        <f ca="1">IF(Q$406&gt;=2024,'Building Info &amp; Assumptions'!$B$99*'Operating Statements'!Q427,0)</f>
        <v>1801138.9531407999</v>
      </c>
      <c r="R407" s="401">
        <f ca="1">IF(R$406&gt;=2024,'Building Info &amp; Assumptions'!$B$99*'Operating Statements'!R427,0)</f>
        <v>1671394.7931407997</v>
      </c>
      <c r="S407" s="401">
        <f ca="1">IF(S$406&gt;=2024,'Building Info &amp; Assumptions'!$B$99*'Operating Statements'!S427,0)</f>
        <v>1541650.6331407998</v>
      </c>
      <c r="T407" s="401">
        <f ca="1">IF(T$406&gt;=2024,'Building Info &amp; Assumptions'!$B$99*'Operating Statements'!T427,0)</f>
        <v>1411906.4731407999</v>
      </c>
      <c r="U407" s="401">
        <f ca="1">IF(U$406&gt;=2024,'Building Info &amp; Assumptions'!$B$99*'Operating Statements'!U427,0)</f>
        <v>1282162.3131408</v>
      </c>
      <c r="V407" s="401">
        <f ca="1">IF(V$406&gt;=2024,'Building Info &amp; Assumptions'!$B$99*'Operating Statements'!V427,0)</f>
        <v>1282162.3131408</v>
      </c>
    </row>
    <row r="408" spans="1:28" s="375" customFormat="1">
      <c r="A408" s="375" t="str">
        <f>A287</f>
        <v>Baseline - Offset Based Compliance</v>
      </c>
      <c r="B408" s="484"/>
      <c r="C408" s="401">
        <v>0</v>
      </c>
      <c r="D408" s="401">
        <v>0</v>
      </c>
      <c r="E408" s="401">
        <v>0</v>
      </c>
      <c r="F408" s="401">
        <v>0</v>
      </c>
      <c r="G408" s="401">
        <v>0</v>
      </c>
      <c r="H408" s="401">
        <v>0</v>
      </c>
      <c r="I408" s="401">
        <v>0</v>
      </c>
      <c r="J408" s="401">
        <v>0</v>
      </c>
      <c r="K408" s="401">
        <v>0</v>
      </c>
      <c r="L408" s="401">
        <v>0</v>
      </c>
      <c r="M408" s="401">
        <v>0</v>
      </c>
      <c r="N408" s="401">
        <v>0</v>
      </c>
      <c r="O408" s="401">
        <v>0</v>
      </c>
      <c r="P408" s="401">
        <v>0</v>
      </c>
      <c r="Q408" s="401">
        <v>0</v>
      </c>
      <c r="R408" s="401">
        <v>0</v>
      </c>
      <c r="S408" s="401">
        <v>0</v>
      </c>
      <c r="T408" s="401">
        <v>0</v>
      </c>
      <c r="U408" s="401">
        <v>0</v>
      </c>
      <c r="V408" s="401">
        <v>0</v>
      </c>
    </row>
    <row r="409" spans="1:28" s="375" customFormat="1">
      <c r="A409" s="375" t="str">
        <f>A289</f>
        <v>Alternative 1</v>
      </c>
      <c r="B409" s="484"/>
      <c r="C409" s="401">
        <f>IF(AND(C$406&gt;=2024,Alternatives!$B$58="No"),'Building Info &amp; Assumptions'!$B$99*'Operating Statements'!C429,0)</f>
        <v>0</v>
      </c>
      <c r="D409" s="401">
        <f>IF(AND(D$406&gt;=2024,Alternatives!$B$58="No"),'Building Info &amp; Assumptions'!$B$99*'Operating Statements'!D429,0)</f>
        <v>0</v>
      </c>
      <c r="E409" s="401">
        <f>IF(AND(E$406&gt;=2024,Alternatives!$B$58="No"),'Building Info &amp; Assumptions'!$B$99*'Operating Statements'!E429,0)</f>
        <v>0</v>
      </c>
      <c r="F409" s="401">
        <f>IF(AND(F$406&gt;=2024,Alternatives!$B$58="No"),'Building Info &amp; Assumptions'!$B$99*'Operating Statements'!F429,0)</f>
        <v>0</v>
      </c>
      <c r="G409" s="401">
        <f>IF(AND(G$406&gt;=2024,Alternatives!$B$58="No"),'Building Info &amp; Assumptions'!$B$99*'Operating Statements'!G429,0)</f>
        <v>0</v>
      </c>
      <c r="H409" s="401">
        <f>IF(AND(H$406&gt;=2024,Alternatives!$B$58="No"),'Building Info &amp; Assumptions'!$B$99*'Operating Statements'!H429,0)</f>
        <v>0</v>
      </c>
      <c r="I409" s="401">
        <f>IF(AND(I$406&gt;=2024,Alternatives!$B$58="No"),'Building Info &amp; Assumptions'!$B$99*'Operating Statements'!I429,0)</f>
        <v>0</v>
      </c>
      <c r="J409" s="401">
        <f>IF(AND(J$406&gt;=2024,Alternatives!$B$58="No"),'Building Info &amp; Assumptions'!$B$99*'Operating Statements'!J429,0)</f>
        <v>0</v>
      </c>
      <c r="K409" s="401">
        <f>IF(AND(K$406&gt;=2024,Alternatives!$B$58="No"),'Building Info &amp; Assumptions'!$B$99*'Operating Statements'!K429,0)</f>
        <v>0</v>
      </c>
      <c r="L409" s="401">
        <f>IF(AND(L$406&gt;=2024,Alternatives!$B$58="No"),'Building Info &amp; Assumptions'!$B$99*'Operating Statements'!L429,0)</f>
        <v>0</v>
      </c>
      <c r="M409" s="401">
        <f>IF(AND(M$406&gt;=2024,Alternatives!$B$58="No"),'Building Info &amp; Assumptions'!$B$99*'Operating Statements'!M429,0)</f>
        <v>0</v>
      </c>
      <c r="N409" s="401">
        <f>IF(AND(N$406&gt;=2024,Alternatives!$B$58="No"),'Building Info &amp; Assumptions'!$B$99*'Operating Statements'!N429,0)</f>
        <v>0</v>
      </c>
      <c r="O409" s="401">
        <f>IF(AND(O$406&gt;=2024,Alternatives!$B$58="No"),'Building Info &amp; Assumptions'!$B$99*'Operating Statements'!O429,0)</f>
        <v>0</v>
      </c>
      <c r="P409" s="401">
        <f>IF(AND(P$406&gt;=2024,Alternatives!$B$58="No"),'Building Info &amp; Assumptions'!$B$99*'Operating Statements'!P429,0)</f>
        <v>0</v>
      </c>
      <c r="Q409" s="401">
        <f>IF(AND(Q$406&gt;=2024,Alternatives!$B$58="No"),'Building Info &amp; Assumptions'!$B$99*'Operating Statements'!Q429,0)</f>
        <v>0</v>
      </c>
      <c r="R409" s="401">
        <f>IF(AND(R$406&gt;=2024,Alternatives!$B$58="No"),'Building Info &amp; Assumptions'!$B$99*'Operating Statements'!R429,0)</f>
        <v>0</v>
      </c>
      <c r="S409" s="401">
        <f>IF(AND(S$406&gt;=2024,Alternatives!$B$58="No"),'Building Info &amp; Assumptions'!$B$99*'Operating Statements'!S429,0)</f>
        <v>0</v>
      </c>
      <c r="T409" s="401">
        <f>IF(AND(T$406&gt;=2024,Alternatives!$B$58="No"),'Building Info &amp; Assumptions'!$B$99*'Operating Statements'!T429,0)</f>
        <v>0</v>
      </c>
      <c r="U409" s="401">
        <f>IF(AND(U$406&gt;=2024,Alternatives!$B$58="No"),'Building Info &amp; Assumptions'!$B$99*'Operating Statements'!U429,0)</f>
        <v>0</v>
      </c>
      <c r="V409" s="401">
        <f>IF(AND(V$406&gt;=2024,Alternatives!$B$58="No"),'Building Info &amp; Assumptions'!$B$99*'Operating Statements'!V429,0)</f>
        <v>0</v>
      </c>
    </row>
    <row r="410" spans="1:28" s="375" customFormat="1">
      <c r="A410" s="375" t="str">
        <f>A291</f>
        <v>Alternative 2</v>
      </c>
      <c r="B410" s="484"/>
      <c r="C410" s="401">
        <f>IF(AND(C$406&gt;=2024,Alternatives!$B$83="No"),'Building Info &amp; Assumptions'!$B$99*'Operating Statements'!C430,0)</f>
        <v>0</v>
      </c>
      <c r="D410" s="401">
        <f>IF(AND(D$406&gt;=2024,Alternatives!$B$83="No"),'Building Info &amp; Assumptions'!$B$99*'Operating Statements'!D430,0)</f>
        <v>0</v>
      </c>
      <c r="E410" s="401">
        <f>IF(AND(E$406&gt;=2024,Alternatives!$B$83="No"),'Building Info &amp; Assumptions'!$B$99*'Operating Statements'!E430,0)</f>
        <v>0</v>
      </c>
      <c r="F410" s="401">
        <f>IF(AND(F$406&gt;=2024,Alternatives!$B$83="No"),'Building Info &amp; Assumptions'!$B$99*'Operating Statements'!F430,0)</f>
        <v>0</v>
      </c>
      <c r="G410" s="401">
        <f>IF(AND(G$406&gt;=2024,Alternatives!$B$83="No"),'Building Info &amp; Assumptions'!$B$99*'Operating Statements'!G430,0)</f>
        <v>0</v>
      </c>
      <c r="H410" s="401">
        <f>IF(AND(H$406&gt;=2024,Alternatives!$B$83="No"),'Building Info &amp; Assumptions'!$B$99*'Operating Statements'!H430,0)</f>
        <v>0</v>
      </c>
      <c r="I410" s="401">
        <f>IF(AND(I$406&gt;=2024,Alternatives!$B$83="No"),'Building Info &amp; Assumptions'!$B$99*'Operating Statements'!I430,0)</f>
        <v>0</v>
      </c>
      <c r="J410" s="401">
        <f>IF(AND(J$406&gt;=2024,Alternatives!$B$83="No"),'Building Info &amp; Assumptions'!$B$99*'Operating Statements'!J430,0)</f>
        <v>0</v>
      </c>
      <c r="K410" s="401">
        <f>IF(AND(K$406&gt;=2024,Alternatives!$B$83="No"),'Building Info &amp; Assumptions'!$B$99*'Operating Statements'!K430,0)</f>
        <v>0</v>
      </c>
      <c r="L410" s="401">
        <f>IF(AND(L$406&gt;=2024,Alternatives!$B$83="No"),'Building Info &amp; Assumptions'!$B$99*'Operating Statements'!L430,0)</f>
        <v>0</v>
      </c>
      <c r="M410" s="401">
        <f>IF(AND(M$406&gt;=2024,Alternatives!$B$83="No"),'Building Info &amp; Assumptions'!$B$99*'Operating Statements'!M430,0)</f>
        <v>0</v>
      </c>
      <c r="N410" s="401">
        <f>IF(AND(N$406&gt;=2024,Alternatives!$B$83="No"),'Building Info &amp; Assumptions'!$B$99*'Operating Statements'!N430,0)</f>
        <v>0</v>
      </c>
      <c r="O410" s="401">
        <f>IF(AND(O$406&gt;=2024,Alternatives!$B$83="No"),'Building Info &amp; Assumptions'!$B$99*'Operating Statements'!O430,0)</f>
        <v>0</v>
      </c>
      <c r="P410" s="401">
        <f>IF(AND(P$406&gt;=2024,Alternatives!$B$83="No"),'Building Info &amp; Assumptions'!$B$99*'Operating Statements'!P430,0)</f>
        <v>0</v>
      </c>
      <c r="Q410" s="401">
        <f>IF(AND(Q$406&gt;=2024,Alternatives!$B$83="No"),'Building Info &amp; Assumptions'!$B$99*'Operating Statements'!Q430,0)</f>
        <v>0</v>
      </c>
      <c r="R410" s="401">
        <f>IF(AND(R$406&gt;=2024,Alternatives!$B$83="No"),'Building Info &amp; Assumptions'!$B$99*'Operating Statements'!R430,0)</f>
        <v>0</v>
      </c>
      <c r="S410" s="401">
        <f>IF(AND(S$406&gt;=2024,Alternatives!$B$83="No"),'Building Info &amp; Assumptions'!$B$99*'Operating Statements'!S430,0)</f>
        <v>0</v>
      </c>
      <c r="T410" s="401">
        <f>IF(AND(T$406&gt;=2024,Alternatives!$B$83="No"),'Building Info &amp; Assumptions'!$B$99*'Operating Statements'!T430,0)</f>
        <v>0</v>
      </c>
      <c r="U410" s="401">
        <f>IF(AND(U$406&gt;=2024,Alternatives!$B$83="No"),'Building Info &amp; Assumptions'!$B$99*'Operating Statements'!U430,0)</f>
        <v>0</v>
      </c>
      <c r="V410" s="401">
        <f>IF(AND(V$406&gt;=2024,Alternatives!$B$83="No"),'Building Info &amp; Assumptions'!$B$99*'Operating Statements'!V430,0)</f>
        <v>0</v>
      </c>
    </row>
    <row r="411" spans="1:28" s="375" customFormat="1">
      <c r="A411" s="375" t="str">
        <f>A293</f>
        <v>Alternative 3</v>
      </c>
      <c r="B411" s="484"/>
      <c r="C411" s="401">
        <f>IF(AND(C$406&gt;=2024,Alternatives!$B$108="No"),'Building Info &amp; Assumptions'!$B$99*'Operating Statements'!C431,0)</f>
        <v>0</v>
      </c>
      <c r="D411" s="401">
        <f>IF(AND(D$406&gt;=2024,Alternatives!$B$108="No"),'Building Info &amp; Assumptions'!$B$99*'Operating Statements'!D431,0)</f>
        <v>0</v>
      </c>
      <c r="E411" s="401">
        <f>IF(AND(E$406&gt;=2024,Alternatives!$B$108="No"),'Building Info &amp; Assumptions'!$B$99*'Operating Statements'!E431,0)</f>
        <v>0</v>
      </c>
      <c r="F411" s="401">
        <f>IF(AND(F$406&gt;=2024,Alternatives!$B$108="No"),'Building Info &amp; Assumptions'!$B$99*'Operating Statements'!F431,0)</f>
        <v>0</v>
      </c>
      <c r="G411" s="401">
        <f>IF(AND(G$406&gt;=2024,Alternatives!$B$108="No"),'Building Info &amp; Assumptions'!$B$99*'Operating Statements'!G431,0)</f>
        <v>0</v>
      </c>
      <c r="H411" s="401">
        <f>IF(AND(H$406&gt;=2024,Alternatives!$B$108="No"),'Building Info &amp; Assumptions'!$B$99*'Operating Statements'!H431,0)</f>
        <v>0</v>
      </c>
      <c r="I411" s="401">
        <f>IF(AND(I$406&gt;=2024,Alternatives!$B$108="No"),'Building Info &amp; Assumptions'!$B$99*'Operating Statements'!I431,0)</f>
        <v>0</v>
      </c>
      <c r="J411" s="401">
        <f>IF(AND(J$406&gt;=2024,Alternatives!$B$108="No"),'Building Info &amp; Assumptions'!$B$99*'Operating Statements'!J431,0)</f>
        <v>0</v>
      </c>
      <c r="K411" s="401">
        <f>IF(AND(K$406&gt;=2024,Alternatives!$B$108="No"),'Building Info &amp; Assumptions'!$B$99*'Operating Statements'!K431,0)</f>
        <v>0</v>
      </c>
      <c r="L411" s="401">
        <f>IF(AND(L$406&gt;=2024,Alternatives!$B$108="No"),'Building Info &amp; Assumptions'!$B$99*'Operating Statements'!L431,0)</f>
        <v>0</v>
      </c>
      <c r="M411" s="401">
        <f>IF(AND(M$406&gt;=2024,Alternatives!$B$108="No"),'Building Info &amp; Assumptions'!$B$99*'Operating Statements'!M431,0)</f>
        <v>0</v>
      </c>
      <c r="N411" s="401">
        <f>IF(AND(N$406&gt;=2024,Alternatives!$B$108="No"),'Building Info &amp; Assumptions'!$B$99*'Operating Statements'!N431,0)</f>
        <v>0</v>
      </c>
      <c r="O411" s="401">
        <f>IF(AND(O$406&gt;=2024,Alternatives!$B$108="No"),'Building Info &amp; Assumptions'!$B$99*'Operating Statements'!O431,0)</f>
        <v>0</v>
      </c>
      <c r="P411" s="401">
        <f>IF(AND(P$406&gt;=2024,Alternatives!$B$108="No"),'Building Info &amp; Assumptions'!$B$99*'Operating Statements'!P431,0)</f>
        <v>0</v>
      </c>
      <c r="Q411" s="401">
        <f>IF(AND(Q$406&gt;=2024,Alternatives!$B$108="No"),'Building Info &amp; Assumptions'!$B$99*'Operating Statements'!Q431,0)</f>
        <v>0</v>
      </c>
      <c r="R411" s="401">
        <f>IF(AND(R$406&gt;=2024,Alternatives!$B$108="No"),'Building Info &amp; Assumptions'!$B$99*'Operating Statements'!R431,0)</f>
        <v>0</v>
      </c>
      <c r="S411" s="401">
        <f>IF(AND(S$406&gt;=2024,Alternatives!$B$108="No"),'Building Info &amp; Assumptions'!$B$99*'Operating Statements'!S431,0)</f>
        <v>0</v>
      </c>
      <c r="T411" s="401">
        <f>IF(AND(T$406&gt;=2024,Alternatives!$B$108="No"),'Building Info &amp; Assumptions'!$B$99*'Operating Statements'!T431,0)</f>
        <v>0</v>
      </c>
      <c r="U411" s="401">
        <f>IF(AND(U$406&gt;=2024,Alternatives!$B$108="No"),'Building Info &amp; Assumptions'!$B$99*'Operating Statements'!U431,0)</f>
        <v>0</v>
      </c>
      <c r="V411" s="401">
        <f>IF(AND(V$406&gt;=2024,Alternatives!$B$108="No"),'Building Info &amp; Assumptions'!$B$99*'Operating Statements'!V431,0)</f>
        <v>0</v>
      </c>
    </row>
    <row r="412" spans="1:28" s="375" customFormat="1">
      <c r="B412" s="484"/>
      <c r="C412" s="484"/>
      <c r="D412" s="484"/>
      <c r="E412" s="484"/>
      <c r="F412" s="484"/>
      <c r="G412" s="484"/>
      <c r="H412" s="484"/>
      <c r="I412" s="484"/>
      <c r="J412" s="484"/>
      <c r="K412" s="484"/>
      <c r="L412" s="484"/>
      <c r="M412" s="484"/>
      <c r="N412" s="484"/>
      <c r="O412" s="484"/>
      <c r="P412" s="484"/>
      <c r="Q412" s="484"/>
      <c r="R412" s="484"/>
      <c r="S412" s="484"/>
      <c r="T412" s="484"/>
      <c r="U412" s="484"/>
      <c r="V412" s="484"/>
    </row>
    <row r="413" spans="1:28" s="375" customFormat="1">
      <c r="A413" s="375" t="s">
        <v>633</v>
      </c>
      <c r="B413" s="479">
        <f>B406</f>
        <v>2020</v>
      </c>
      <c r="C413" s="479">
        <f t="shared" ref="C413:V413" si="257">C406</f>
        <v>2021</v>
      </c>
      <c r="D413" s="479">
        <f t="shared" si="257"/>
        <v>2022</v>
      </c>
      <c r="E413" s="479">
        <f t="shared" si="257"/>
        <v>2023</v>
      </c>
      <c r="F413" s="479">
        <f t="shared" si="257"/>
        <v>2024</v>
      </c>
      <c r="G413" s="479">
        <f t="shared" si="257"/>
        <v>2025</v>
      </c>
      <c r="H413" s="479">
        <f t="shared" si="257"/>
        <v>2026</v>
      </c>
      <c r="I413" s="479">
        <f t="shared" si="257"/>
        <v>2027</v>
      </c>
      <c r="J413" s="479">
        <f t="shared" si="257"/>
        <v>2028</v>
      </c>
      <c r="K413" s="479">
        <f t="shared" si="257"/>
        <v>2029</v>
      </c>
      <c r="L413" s="479">
        <f t="shared" si="257"/>
        <v>2030</v>
      </c>
      <c r="M413" s="479">
        <f t="shared" si="257"/>
        <v>2031</v>
      </c>
      <c r="N413" s="479">
        <f t="shared" si="257"/>
        <v>2032</v>
      </c>
      <c r="O413" s="479">
        <f t="shared" si="257"/>
        <v>2033</v>
      </c>
      <c r="P413" s="479">
        <f t="shared" si="257"/>
        <v>2034</v>
      </c>
      <c r="Q413" s="479">
        <f t="shared" si="257"/>
        <v>2035</v>
      </c>
      <c r="R413" s="479">
        <f t="shared" si="257"/>
        <v>2036</v>
      </c>
      <c r="S413" s="479">
        <f t="shared" si="257"/>
        <v>2037</v>
      </c>
      <c r="T413" s="479">
        <f t="shared" si="257"/>
        <v>2038</v>
      </c>
      <c r="U413" s="479">
        <f t="shared" si="257"/>
        <v>2039</v>
      </c>
      <c r="V413" s="479">
        <f t="shared" si="257"/>
        <v>2040</v>
      </c>
    </row>
    <row r="414" spans="1:28" s="375" customFormat="1">
      <c r="A414" s="375" t="str">
        <f>A407</f>
        <v>Baseline - Reactive Fines</v>
      </c>
      <c r="B414" s="401"/>
      <c r="C414" s="401">
        <f t="shared" ref="C414:V414" si="258">B65+B66</f>
        <v>0</v>
      </c>
      <c r="D414" s="401">
        <f t="shared" si="258"/>
        <v>0</v>
      </c>
      <c r="E414" s="401">
        <f t="shared" si="258"/>
        <v>0</v>
      </c>
      <c r="F414" s="401">
        <f t="shared" si="258"/>
        <v>0</v>
      </c>
      <c r="G414" s="401">
        <f t="shared" ca="1" si="258"/>
        <v>309247.27314080042</v>
      </c>
      <c r="H414" s="401">
        <f t="shared" ca="1" si="258"/>
        <v>46051.977140799427</v>
      </c>
      <c r="I414" s="401">
        <f t="shared" ca="1" si="258"/>
        <v>0</v>
      </c>
      <c r="J414" s="401">
        <f t="shared" ca="1" si="258"/>
        <v>0</v>
      </c>
      <c r="K414" s="401">
        <f t="shared" ca="1" si="258"/>
        <v>0</v>
      </c>
      <c r="L414" s="401">
        <f t="shared" ca="1" si="258"/>
        <v>746435.67314080021</v>
      </c>
      <c r="M414" s="401">
        <f t="shared" ca="1" si="258"/>
        <v>616294.3371407995</v>
      </c>
      <c r="N414" s="401">
        <f t="shared" ca="1" si="258"/>
        <v>486153.00114079984</v>
      </c>
      <c r="O414" s="401">
        <f t="shared" ca="1" si="258"/>
        <v>353231.43314079993</v>
      </c>
      <c r="P414" s="401">
        <f t="shared" ca="1" si="258"/>
        <v>223487.27314079995</v>
      </c>
      <c r="Q414" s="401">
        <f t="shared" ca="1" si="258"/>
        <v>1930883.1131408</v>
      </c>
      <c r="R414" s="401">
        <f t="shared" ca="1" si="258"/>
        <v>1801138.9531407999</v>
      </c>
      <c r="S414" s="401">
        <f t="shared" ca="1" si="258"/>
        <v>1671394.7931407997</v>
      </c>
      <c r="T414" s="401">
        <f t="shared" ca="1" si="258"/>
        <v>1541650.6331407998</v>
      </c>
      <c r="U414" s="401">
        <f t="shared" ca="1" si="258"/>
        <v>1411906.4731407999</v>
      </c>
      <c r="V414" s="401">
        <f t="shared" ca="1" si="258"/>
        <v>1282162.3131408</v>
      </c>
    </row>
    <row r="415" spans="1:28" s="375" customFormat="1">
      <c r="A415" s="375" t="str">
        <f>A408</f>
        <v>Baseline - Offset Based Compliance</v>
      </c>
      <c r="B415" s="401"/>
      <c r="C415" s="401">
        <f t="shared" ref="C415:V415" si="259">B108+B109</f>
        <v>0</v>
      </c>
      <c r="D415" s="401">
        <f t="shared" si="259"/>
        <v>0</v>
      </c>
      <c r="E415" s="401">
        <f t="shared" si="259"/>
        <v>0</v>
      </c>
      <c r="F415" s="401">
        <f t="shared" ca="1" si="259"/>
        <v>71089.157925987369</v>
      </c>
      <c r="G415" s="401">
        <f t="shared" ca="1" si="259"/>
        <v>31850.184488498577</v>
      </c>
      <c r="H415" s="401">
        <f t="shared" ca="1" si="259"/>
        <v>4837.8736929825664</v>
      </c>
      <c r="I415" s="401">
        <f t="shared" ca="1" si="259"/>
        <v>0</v>
      </c>
      <c r="J415" s="401">
        <f t="shared" ca="1" si="259"/>
        <v>0</v>
      </c>
      <c r="K415" s="401">
        <f t="shared" ca="1" si="259"/>
        <v>0</v>
      </c>
      <c r="L415" s="401">
        <f t="shared" ca="1" si="259"/>
        <v>84878.817205565851</v>
      </c>
      <c r="M415" s="401">
        <f t="shared" ca="1" si="259"/>
        <v>71481.767277050574</v>
      </c>
      <c r="N415" s="401">
        <f t="shared" ca="1" si="259"/>
        <v>57514.883824512595</v>
      </c>
      <c r="O415" s="401">
        <f t="shared" ca="1" si="259"/>
        <v>42625.235447354062</v>
      </c>
      <c r="P415" s="401">
        <f t="shared" ca="1" si="259"/>
        <v>27508.088686951207</v>
      </c>
      <c r="Q415" s="401">
        <f t="shared" ca="1" si="259"/>
        <v>242417.39244225094</v>
      </c>
      <c r="R415" s="401">
        <f t="shared" ca="1" si="259"/>
        <v>230650.91490238433</v>
      </c>
      <c r="S415" s="401">
        <f t="shared" ca="1" si="259"/>
        <v>218316.81130394607</v>
      </c>
      <c r="T415" s="401">
        <f t="shared" ca="1" si="259"/>
        <v>205397.08319560933</v>
      </c>
      <c r="U415" s="401">
        <f t="shared" ca="1" si="259"/>
        <v>191873.23923841759</v>
      </c>
      <c r="V415" s="401">
        <f t="shared" ca="1" si="259"/>
        <v>177726.28268965994</v>
      </c>
    </row>
    <row r="416" spans="1:28" s="375" customFormat="1">
      <c r="A416" s="375" t="str">
        <f>A409</f>
        <v>Alternative 1</v>
      </c>
      <c r="B416" s="401"/>
      <c r="C416" s="401">
        <f t="shared" ref="C416:V416" si="260">B151+B152+IFERROR(C421,0)</f>
        <v>0</v>
      </c>
      <c r="D416" s="401">
        <f t="shared" si="260"/>
        <v>0</v>
      </c>
      <c r="E416" s="401">
        <f t="shared" si="260"/>
        <v>0</v>
      </c>
      <c r="F416" s="401">
        <f t="shared" si="260"/>
        <v>57427.984439116881</v>
      </c>
      <c r="G416" s="401">
        <f t="shared" si="260"/>
        <v>18249.992791019326</v>
      </c>
      <c r="H416" s="401">
        <f t="shared" si="260"/>
        <v>0</v>
      </c>
      <c r="I416" s="401">
        <f t="shared" si="260"/>
        <v>0</v>
      </c>
      <c r="J416" s="401">
        <f t="shared" si="260"/>
        <v>0</v>
      </c>
      <c r="K416" s="401">
        <f t="shared" si="260"/>
        <v>0</v>
      </c>
      <c r="L416" s="401">
        <f t="shared" si="260"/>
        <v>0</v>
      </c>
      <c r="M416" s="401">
        <f t="shared" si="260"/>
        <v>0</v>
      </c>
      <c r="N416" s="401">
        <f t="shared" si="260"/>
        <v>0</v>
      </c>
      <c r="O416" s="401">
        <f t="shared" si="260"/>
        <v>0</v>
      </c>
      <c r="P416" s="401">
        <f t="shared" si="260"/>
        <v>0</v>
      </c>
      <c r="Q416" s="401">
        <f t="shared" si="260"/>
        <v>138297.27676002838</v>
      </c>
      <c r="R416" s="401">
        <f t="shared" si="260"/>
        <v>122976.77063066015</v>
      </c>
      <c r="S416" s="401">
        <f t="shared" si="260"/>
        <v>108242.15390567388</v>
      </c>
      <c r="T416" s="401">
        <f t="shared" si="260"/>
        <v>100346.14833722619</v>
      </c>
      <c r="U416" s="401">
        <f t="shared" si="260"/>
        <v>83414.526061109325</v>
      </c>
      <c r="V416" s="401">
        <f t="shared" si="260"/>
        <v>65765.500434612899</v>
      </c>
    </row>
    <row r="417" spans="1:22" s="375" customFormat="1">
      <c r="A417" s="375" t="str">
        <f>A410</f>
        <v>Alternative 2</v>
      </c>
      <c r="B417" s="401"/>
      <c r="C417" s="401">
        <f t="shared" ref="C417:V417" si="261">B194+B195+IFERROR(C422,0)</f>
        <v>0</v>
      </c>
      <c r="D417" s="401">
        <f t="shared" si="261"/>
        <v>0</v>
      </c>
      <c r="E417" s="401">
        <f t="shared" si="261"/>
        <v>0</v>
      </c>
      <c r="F417" s="401">
        <f t="shared" si="261"/>
        <v>68007.11512988196</v>
      </c>
      <c r="G417" s="401">
        <f t="shared" ca="1" si="261"/>
        <v>18249.992791019326</v>
      </c>
      <c r="H417" s="401">
        <f t="shared" ca="1" si="261"/>
        <v>0</v>
      </c>
      <c r="I417" s="401">
        <f t="shared" ca="1" si="261"/>
        <v>0</v>
      </c>
      <c r="J417" s="401">
        <f t="shared" ca="1" si="261"/>
        <v>0</v>
      </c>
      <c r="K417" s="401">
        <f t="shared" ca="1" si="261"/>
        <v>0</v>
      </c>
      <c r="L417" s="401">
        <f t="shared" ca="1" si="261"/>
        <v>35499.01396081625</v>
      </c>
      <c r="M417" s="401">
        <f t="shared" ca="1" si="261"/>
        <v>16532.595809687147</v>
      </c>
      <c r="N417" s="401">
        <f t="shared" ca="1" si="261"/>
        <v>0</v>
      </c>
      <c r="O417" s="401">
        <f t="shared" ca="1" si="261"/>
        <v>0</v>
      </c>
      <c r="P417" s="401">
        <f t="shared" ca="1" si="261"/>
        <v>0</v>
      </c>
      <c r="Q417" s="401">
        <f t="shared" ca="1" si="261"/>
        <v>165828.09367978995</v>
      </c>
      <c r="R417" s="401">
        <f t="shared" ca="1" si="261"/>
        <v>147283.0431998178</v>
      </c>
      <c r="S417" s="401">
        <f t="shared" ca="1" si="261"/>
        <v>129183.88802343547</v>
      </c>
      <c r="T417" s="401">
        <f t="shared" ca="1" si="261"/>
        <v>117779.03995650829</v>
      </c>
      <c r="U417" s="401">
        <f t="shared" ca="1" si="261"/>
        <v>97189.844788325601</v>
      </c>
      <c r="V417" s="401">
        <f t="shared" ca="1" si="261"/>
        <v>75729.970197433053</v>
      </c>
    </row>
    <row r="418" spans="1:22" s="375" customFormat="1">
      <c r="A418" s="375" t="str">
        <f>A411</f>
        <v>Alternative 3</v>
      </c>
      <c r="B418" s="401"/>
      <c r="C418" s="401">
        <f t="shared" ref="C418:V418" si="262">B236+B237+IFERROR(C423,0)</f>
        <v>0</v>
      </c>
      <c r="D418" s="401">
        <f t="shared" si="262"/>
        <v>0</v>
      </c>
      <c r="E418" s="401">
        <f t="shared" si="262"/>
        <v>0</v>
      </c>
      <c r="F418" s="401">
        <f t="shared" ca="1" si="262"/>
        <v>84396.394194803608</v>
      </c>
      <c r="G418" s="401">
        <f t="shared" ca="1" si="262"/>
        <v>42942.36469365978</v>
      </c>
      <c r="H418" s="401">
        <f t="shared" ca="1" si="262"/>
        <v>4865.8564191136993</v>
      </c>
      <c r="I418" s="401">
        <f t="shared" ca="1" si="262"/>
        <v>0</v>
      </c>
      <c r="J418" s="401">
        <f t="shared" ca="1" si="262"/>
        <v>0</v>
      </c>
      <c r="K418" s="401">
        <f t="shared" ca="1" si="262"/>
        <v>0</v>
      </c>
      <c r="L418" s="401">
        <f t="shared" ca="1" si="262"/>
        <v>44447.847646602204</v>
      </c>
      <c r="M418" s="401">
        <f t="shared" ca="1" si="262"/>
        <v>24914.381584151997</v>
      </c>
      <c r="N418" s="401">
        <f t="shared" ca="1" si="262"/>
        <v>4581.7977401452899</v>
      </c>
      <c r="O418" s="401">
        <f t="shared" ca="1" si="262"/>
        <v>0</v>
      </c>
      <c r="P418" s="401">
        <f t="shared" ca="1" si="262"/>
        <v>0</v>
      </c>
      <c r="Q418" s="401">
        <f t="shared" ca="1" si="262"/>
        <v>169192.76452560027</v>
      </c>
      <c r="R418" s="401">
        <f t="shared" ca="1" si="262"/>
        <v>150028.614609999</v>
      </c>
      <c r="S418" s="401">
        <f t="shared" ca="1" si="262"/>
        <v>131284.25015222412</v>
      </c>
      <c r="T418" s="401">
        <f t="shared" ca="1" si="262"/>
        <v>117779.03995650829</v>
      </c>
      <c r="U418" s="401">
        <f t="shared" ca="1" si="262"/>
        <v>97189.844788325601</v>
      </c>
      <c r="V418" s="401">
        <f t="shared" ca="1" si="262"/>
        <v>75729.970197433053</v>
      </c>
    </row>
    <row r="419" spans="1:22" s="375" customFormat="1">
      <c r="B419" s="401"/>
      <c r="C419" s="401"/>
      <c r="D419" s="401"/>
      <c r="E419" s="401"/>
      <c r="F419" s="401"/>
      <c r="G419" s="401"/>
      <c r="H419" s="401"/>
      <c r="I419" s="401"/>
      <c r="J419" s="401"/>
      <c r="K419" s="401"/>
      <c r="L419" s="401"/>
      <c r="M419" s="401"/>
      <c r="N419" s="401"/>
      <c r="O419" s="401"/>
      <c r="P419" s="401"/>
      <c r="Q419" s="401"/>
      <c r="R419" s="401"/>
      <c r="S419" s="401"/>
      <c r="T419" s="401"/>
      <c r="U419" s="401"/>
      <c r="V419" s="401"/>
    </row>
    <row r="420" spans="1:22" s="375" customFormat="1">
      <c r="A420" s="375" t="s">
        <v>634</v>
      </c>
      <c r="B420" s="401"/>
      <c r="C420" s="401"/>
      <c r="D420" s="401"/>
      <c r="E420" s="401"/>
      <c r="F420" s="401"/>
      <c r="G420" s="401"/>
      <c r="H420" s="401"/>
      <c r="I420" s="401"/>
      <c r="J420" s="401"/>
      <c r="K420" s="401"/>
      <c r="L420" s="401"/>
      <c r="M420" s="401"/>
      <c r="N420" s="401"/>
      <c r="O420" s="401"/>
      <c r="P420" s="401"/>
      <c r="Q420" s="401"/>
      <c r="R420" s="401"/>
      <c r="S420" s="401"/>
      <c r="T420" s="401"/>
      <c r="U420" s="401"/>
      <c r="V420" s="401"/>
    </row>
    <row r="421" spans="1:22" s="375" customFormat="1">
      <c r="A421" s="375" t="str">
        <f>A416</f>
        <v>Alternative 1</v>
      </c>
      <c r="B421" s="401" t="e">
        <f>IF(AND(B413-$B$413&gt;=INDEX(Alternatives!$I$38:$I$57,MATCH(INDEX('Narrative &amp; Measures'!$A$28:$A$67,MATCH("Carbon Offsets",'Narrative &amp; Measures'!$B$28:$B$67,0)),Alternatives!$C$38:$C$57,0)),B413-$B$413&lt;(INDEX('Narrative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C421" s="401" t="e">
        <f>IF(AND(C413-$B$413&gt;=INDEX(Alternatives!$I$38:$I$57,MATCH(INDEX('Narrative &amp; Measures'!$A$28:$A$67,MATCH("Carbon Offsets",'Narrative &amp; Measures'!$B$28:$B$67,0)),Alternatives!$C$38:$C$57,0)),C413-$B$413&lt;(INDEX('Narrative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D421" s="401" t="e">
        <f>IF(AND(D413-$B$413&gt;=INDEX(Alternatives!$I$38:$I$57,MATCH(INDEX('Narrative &amp; Measures'!$A$28:$A$67,MATCH("Carbon Offsets",'Narrative &amp; Measures'!$B$28:$B$67,0)),Alternatives!$C$38:$C$57,0)),D413-$B$413&lt;(INDEX('Narrative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E421" s="401" t="e">
        <f>IF(AND(E413-$B$413&gt;=INDEX(Alternatives!$I$38:$I$57,MATCH(INDEX('Narrative &amp; Measures'!$A$28:$A$67,MATCH("Carbon Offsets",'Narrative &amp; Measures'!$B$28:$B$67,0)),Alternatives!$C$38:$C$57,0)),E413-$B$413&lt;(INDEX('Narrative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F421" s="401" t="e">
        <f>IF(AND(F413-$B$413&gt;=INDEX(Alternatives!$I$38:$I$57,MATCH(INDEX('Narrative &amp; Measures'!$A$28:$A$67,MATCH("Carbon Offsets",'Narrative &amp; Measures'!$B$28:$B$67,0)),Alternatives!$C$38:$C$57,0)),F413-$B$413&lt;(INDEX('Narrative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G421" s="401" t="e">
        <f>IF(AND(G413-$B$413&gt;=INDEX(Alternatives!$I$38:$I$57,MATCH(INDEX('Narrative &amp; Measures'!$A$28:$A$67,MATCH("Carbon Offsets",'Narrative &amp; Measures'!$B$28:$B$67,0)),Alternatives!$C$38:$C$57,0)),G413-$B$413&lt;(INDEX('Narrative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H421" s="401" t="e">
        <f>IF(AND(H413-$B$413&gt;=INDEX(Alternatives!$I$38:$I$57,MATCH(INDEX('Narrative &amp; Measures'!$A$28:$A$67,MATCH("Carbon Offsets",'Narrative &amp; Measures'!$B$28:$B$67,0)),Alternatives!$C$38:$C$57,0)),H413-$B$413&lt;(INDEX('Narrative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I421" s="401" t="e">
        <f>IF(AND(I413-$B$413&gt;=INDEX(Alternatives!$I$38:$I$57,MATCH(INDEX('Narrative &amp; Measures'!$A$28:$A$67,MATCH("Carbon Offsets",'Narrative &amp; Measures'!$B$28:$B$67,0)),Alternatives!$C$38:$C$57,0)),I413-$B$413&lt;(INDEX('Narrative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J421" s="401" t="e">
        <f>IF(AND(J413-$B$413&gt;=INDEX(Alternatives!$I$38:$I$57,MATCH(INDEX('Narrative &amp; Measures'!$A$28:$A$67,MATCH("Carbon Offsets",'Narrative &amp; Measures'!$B$28:$B$67,0)),Alternatives!$C$38:$C$57,0)),J413-$B$413&lt;(INDEX('Narrative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K421" s="401" t="e">
        <f>IF(AND(K413-$B$413&gt;=INDEX(Alternatives!$I$38:$I$57,MATCH(INDEX('Narrative &amp; Measures'!$A$28:$A$67,MATCH("Carbon Offsets",'Narrative &amp; Measures'!$B$28:$B$67,0)),Alternatives!$C$38:$C$57,0)),K413-$B$413&lt;(INDEX('Narrative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L421" s="401" t="e">
        <f>IF(AND(L413-$B$413&gt;=INDEX(Alternatives!$I$38:$I$57,MATCH(INDEX('Narrative &amp; Measures'!$A$28:$A$67,MATCH("Carbon Offsets",'Narrative &amp; Measures'!$B$28:$B$67,0)),Alternatives!$C$38:$C$57,0)),L413-$B$413&lt;(INDEX('Narrative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M421" s="401" t="e">
        <f>IF(AND(M413-$B$413&gt;=INDEX(Alternatives!$I$38:$I$57,MATCH(INDEX('Narrative &amp; Measures'!$A$28:$A$67,MATCH("Carbon Offsets",'Narrative &amp; Measures'!$B$28:$B$67,0)),Alternatives!$C$38:$C$57,0)),M413-$B$413&lt;(INDEX('Narrative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N421" s="401" t="e">
        <f>IF(AND(N413-$B$413&gt;=INDEX(Alternatives!$I$38:$I$57,MATCH(INDEX('Narrative &amp; Measures'!$A$28:$A$67,MATCH("Carbon Offsets",'Narrative &amp; Measures'!$B$28:$B$67,0)),Alternatives!$C$38:$C$57,0)),N413-$B$413&lt;(INDEX('Narrative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O421" s="401" t="e">
        <f>IF(AND(O413-$B$413&gt;=INDEX(Alternatives!$I$38:$I$57,MATCH(INDEX('Narrative &amp; Measures'!$A$28:$A$67,MATCH("Carbon Offsets",'Narrative &amp; Measures'!$B$28:$B$67,0)),Alternatives!$C$38:$C$57,0)),O413-$B$413&lt;(INDEX('Narrative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P421" s="401" t="e">
        <f>IF(AND(P413-$B$413&gt;=INDEX(Alternatives!$I$38:$I$57,MATCH(INDEX('Narrative &amp; Measures'!$A$28:$A$67,MATCH("Carbon Offsets",'Narrative &amp; Measures'!$B$28:$B$67,0)),Alternatives!$C$38:$C$57,0)),P413-$B$413&lt;(INDEX('Narrative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Q421" s="401" t="e">
        <f>IF(AND(Q413-$B$413&gt;=INDEX(Alternatives!$I$38:$I$57,MATCH(INDEX('Narrative &amp; Measures'!$A$28:$A$67,MATCH("Carbon Offsets",'Narrative &amp; Measures'!$B$28:$B$67,0)),Alternatives!$C$38:$C$57,0)),Q413-$B$413&lt;(INDEX('Narrative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R421" s="401" t="e">
        <f>IF(AND(R413-$B$413&gt;=INDEX(Alternatives!$I$38:$I$57,MATCH(INDEX('Narrative &amp; Measures'!$A$28:$A$67,MATCH("Carbon Offsets",'Narrative &amp; Measures'!$B$28:$B$67,0)),Alternatives!$C$38:$C$57,0)),R413-$B$413&lt;(INDEX('Narrative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S421" s="401" t="e">
        <f>IF(AND(S413-$B$413&gt;=INDEX(Alternatives!$I$38:$I$57,MATCH(INDEX('Narrative &amp; Measures'!$A$28:$A$67,MATCH("Carbon Offsets",'Narrative &amp; Measures'!$B$28:$B$67,0)),Alternatives!$C$38:$C$57,0)),S413-$B$413&lt;(INDEX('Narrative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T421" s="401" t="e">
        <f>IF(AND(T413-$B$413&gt;=INDEX(Alternatives!$I$38:$I$57,MATCH(INDEX('Narrative &amp; Measures'!$A$28:$A$67,MATCH("Carbon Offsets",'Narrative &amp; Measures'!$B$28:$B$67,0)),Alternatives!$C$38:$C$57,0)),T413-$B$413&lt;(INDEX('Narrative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U421" s="401" t="e">
        <f>IF(AND(U413-$B$413&gt;=INDEX(Alternatives!$I$38:$I$57,MATCH(INDEX('Narrative &amp; Measures'!$A$28:$A$67,MATCH("Carbon Offsets",'Narrative &amp; Measures'!$B$28:$B$67,0)),Alternatives!$C$38:$C$57,0)),U413-$B$413&lt;(INDEX('Narrative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V421" s="401" t="e">
        <f>IF(AND(V413-$B$413&gt;=INDEX(Alternatives!$I$38:$I$57,MATCH(INDEX('Narrative &amp; Measures'!$A$28:$A$67,MATCH("Carbon Offsets",'Narrative &amp; Measures'!$B$28:$B$67,0)),Alternatives!$C$38:$C$57,0)),V413-$B$413&lt;(INDEX('Narrative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row>
    <row r="422" spans="1:22" s="375" customFormat="1">
      <c r="A422" s="375" t="str">
        <f t="shared" ref="A422:A423" si="263">A417</f>
        <v>Alternative 2</v>
      </c>
      <c r="B422" s="401" t="e">
        <f>IF(AND(B414-$B$413&gt;=INDEX(Alternatives!$I$38:$I$57,MATCH(INDEX('Narrative &amp; Measures'!$A$28:$A$67,MATCH("Carbon Offsets",'Narrative &amp; Measures'!$B$28:$B$67,0)),Alternatives!$C$38:$C$57,0)),B414-$B$413&lt;(INDEX('Narrative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C422" s="401" t="e">
        <f>IF(AND(C414-$B$413&gt;=INDEX(Alternatives!$I$38:$I$57,MATCH(INDEX('Narrative &amp; Measures'!$A$28:$A$67,MATCH("Carbon Offsets",'Narrative &amp; Measures'!$B$28:$B$67,0)),Alternatives!$C$38:$C$57,0)),C414-$B$413&lt;(INDEX('Narrative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D422" s="401" t="e">
        <f>IF(AND(D414-$B$413&gt;=INDEX(Alternatives!$I$38:$I$57,MATCH(INDEX('Narrative &amp; Measures'!$A$28:$A$67,MATCH("Carbon Offsets",'Narrative &amp; Measures'!$B$28:$B$67,0)),Alternatives!$C$38:$C$57,0)),D414-$B$413&lt;(INDEX('Narrative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E422" s="401" t="e">
        <f>IF(AND(E414-$B$413&gt;=INDEX(Alternatives!$I$38:$I$57,MATCH(INDEX('Narrative &amp; Measures'!$A$28:$A$67,MATCH("Carbon Offsets",'Narrative &amp; Measures'!$B$28:$B$67,0)),Alternatives!$C$38:$C$57,0)),E414-$B$413&lt;(INDEX('Narrative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F422" s="401" t="e">
        <f>IF(AND(F414-$B$413&gt;=INDEX(Alternatives!$I$38:$I$57,MATCH(INDEX('Narrative &amp; Measures'!$A$28:$A$67,MATCH("Carbon Offsets",'Narrative &amp; Measures'!$B$28:$B$67,0)),Alternatives!$C$38:$C$57,0)),F414-$B$413&lt;(INDEX('Narrative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G422" s="401" t="e">
        <f ca="1">IF(AND(G414-$B$413&gt;=INDEX(Alternatives!$I$38:$I$57,MATCH(INDEX('Narrative &amp; Measures'!$A$28:$A$67,MATCH("Carbon Offsets",'Narrative &amp; Measures'!$B$28:$B$67,0)),Alternatives!$C$38:$C$57,0)),G414-$B$413&lt;(INDEX('Narrative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H422" s="401" t="e">
        <f ca="1">IF(AND(H414-$B$413&gt;=INDEX(Alternatives!$I$38:$I$57,MATCH(INDEX('Narrative &amp; Measures'!$A$28:$A$67,MATCH("Carbon Offsets",'Narrative &amp; Measures'!$B$28:$B$67,0)),Alternatives!$C$38:$C$57,0)),H414-$B$413&lt;(INDEX('Narrative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I422" s="401" t="e">
        <f ca="1">IF(AND(I414-$B$413&gt;=INDEX(Alternatives!$I$38:$I$57,MATCH(INDEX('Narrative &amp; Measures'!$A$28:$A$67,MATCH("Carbon Offsets",'Narrative &amp; Measures'!$B$28:$B$67,0)),Alternatives!$C$38:$C$57,0)),I414-$B$413&lt;(INDEX('Narrative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J422" s="401" t="e">
        <f ca="1">IF(AND(J414-$B$413&gt;=INDEX(Alternatives!$I$38:$I$57,MATCH(INDEX('Narrative &amp; Measures'!$A$28:$A$67,MATCH("Carbon Offsets",'Narrative &amp; Measures'!$B$28:$B$67,0)),Alternatives!$C$38:$C$57,0)),J414-$B$413&lt;(INDEX('Narrative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K422" s="401" t="e">
        <f ca="1">IF(AND(K414-$B$413&gt;=INDEX(Alternatives!$I$38:$I$57,MATCH(INDEX('Narrative &amp; Measures'!$A$28:$A$67,MATCH("Carbon Offsets",'Narrative &amp; Measures'!$B$28:$B$67,0)),Alternatives!$C$38:$C$57,0)),K414-$B$413&lt;(INDEX('Narrative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L422" s="401" t="e">
        <f ca="1">IF(AND(L414-$B$413&gt;=INDEX(Alternatives!$I$38:$I$57,MATCH(INDEX('Narrative &amp; Measures'!$A$28:$A$67,MATCH("Carbon Offsets",'Narrative &amp; Measures'!$B$28:$B$67,0)),Alternatives!$C$38:$C$57,0)),L414-$B$413&lt;(INDEX('Narrative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M422" s="401" t="e">
        <f ca="1">IF(AND(M414-$B$413&gt;=INDEX(Alternatives!$I$38:$I$57,MATCH(INDEX('Narrative &amp; Measures'!$A$28:$A$67,MATCH("Carbon Offsets",'Narrative &amp; Measures'!$B$28:$B$67,0)),Alternatives!$C$38:$C$57,0)),M414-$B$413&lt;(INDEX('Narrative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N422" s="401" t="e">
        <f ca="1">IF(AND(N414-$B$413&gt;=INDEX(Alternatives!$I$38:$I$57,MATCH(INDEX('Narrative &amp; Measures'!$A$28:$A$67,MATCH("Carbon Offsets",'Narrative &amp; Measures'!$B$28:$B$67,0)),Alternatives!$C$38:$C$57,0)),N414-$B$413&lt;(INDEX('Narrative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O422" s="401" t="e">
        <f ca="1">IF(AND(O414-$B$413&gt;=INDEX(Alternatives!$I$38:$I$57,MATCH(INDEX('Narrative &amp; Measures'!$A$28:$A$67,MATCH("Carbon Offsets",'Narrative &amp; Measures'!$B$28:$B$67,0)),Alternatives!$C$38:$C$57,0)),O414-$B$413&lt;(INDEX('Narrative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P422" s="401" t="e">
        <f ca="1">IF(AND(P414-$B$413&gt;=INDEX(Alternatives!$I$38:$I$57,MATCH(INDEX('Narrative &amp; Measures'!$A$28:$A$67,MATCH("Carbon Offsets",'Narrative &amp; Measures'!$B$28:$B$67,0)),Alternatives!$C$38:$C$57,0)),P414-$B$413&lt;(INDEX('Narrative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Q422" s="401" t="e">
        <f ca="1">IF(AND(Q414-$B$413&gt;=INDEX(Alternatives!$I$38:$I$57,MATCH(INDEX('Narrative &amp; Measures'!$A$28:$A$67,MATCH("Carbon Offsets",'Narrative &amp; Measures'!$B$28:$B$67,0)),Alternatives!$C$38:$C$57,0)),Q414-$B$413&lt;(INDEX('Narrative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R422" s="401" t="e">
        <f ca="1">IF(AND(R414-$B$413&gt;=INDEX(Alternatives!$I$38:$I$57,MATCH(INDEX('Narrative &amp; Measures'!$A$28:$A$67,MATCH("Carbon Offsets",'Narrative &amp; Measures'!$B$28:$B$67,0)),Alternatives!$C$38:$C$57,0)),R414-$B$413&lt;(INDEX('Narrative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S422" s="401" t="e">
        <f ca="1">IF(AND(S414-$B$413&gt;=INDEX(Alternatives!$I$38:$I$57,MATCH(INDEX('Narrative &amp; Measures'!$A$28:$A$67,MATCH("Carbon Offsets",'Narrative &amp; Measures'!$B$28:$B$67,0)),Alternatives!$C$38:$C$57,0)),S414-$B$413&lt;(INDEX('Narrative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T422" s="401" t="e">
        <f ca="1">IF(AND(T414-$B$413&gt;=INDEX(Alternatives!$I$38:$I$57,MATCH(INDEX('Narrative &amp; Measures'!$A$28:$A$67,MATCH("Carbon Offsets",'Narrative &amp; Measures'!$B$28:$B$67,0)),Alternatives!$C$38:$C$57,0)),T414-$B$413&lt;(INDEX('Narrative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U422" s="401" t="e">
        <f ca="1">IF(AND(U414-$B$413&gt;=INDEX(Alternatives!$I$38:$I$57,MATCH(INDEX('Narrative &amp; Measures'!$A$28:$A$67,MATCH("Carbon Offsets",'Narrative &amp; Measures'!$B$28:$B$67,0)),Alternatives!$C$38:$C$57,0)),U414-$B$413&lt;(INDEX('Narrative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V422" s="401" t="e">
        <f ca="1">IF(AND(V414-$B$413&gt;=INDEX(Alternatives!$I$38:$I$57,MATCH(INDEX('Narrative &amp; Measures'!$A$28:$A$67,MATCH("Carbon Offsets",'Narrative &amp; Measures'!$B$28:$B$67,0)),Alternatives!$C$38:$C$57,0)),V414-$B$413&lt;(INDEX('Narrative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row>
    <row r="423" spans="1:22" s="375" customFormat="1">
      <c r="A423" s="375" t="str">
        <f t="shared" si="263"/>
        <v>Alternative 3</v>
      </c>
      <c r="B423" s="401" t="e">
        <f>IF(AND(B415-$B$413&gt;=INDEX(Alternatives!$I$38:$I$57,MATCH(INDEX('Narrative &amp; Measures'!$A$28:$A$67,MATCH("Carbon Offsets",'Narrative &amp; Measures'!$B$28:$B$67,0)),Alternatives!$C$38:$C$57,0)),B415-$B$413&lt;(INDEX('Narrative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C423" s="401" t="e">
        <f>IF(AND(C415-$B$413&gt;=INDEX(Alternatives!$I$38:$I$57,MATCH(INDEX('Narrative &amp; Measures'!$A$28:$A$67,MATCH("Carbon Offsets",'Narrative &amp; Measures'!$B$28:$B$67,0)),Alternatives!$C$38:$C$57,0)),C415-$B$413&lt;(INDEX('Narrative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D423" s="401" t="e">
        <f>IF(AND(D415-$B$413&gt;=INDEX(Alternatives!$I$38:$I$57,MATCH(INDEX('Narrative &amp; Measures'!$A$28:$A$67,MATCH("Carbon Offsets",'Narrative &amp; Measures'!$B$28:$B$67,0)),Alternatives!$C$38:$C$57,0)),D415-$B$413&lt;(INDEX('Narrative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E423" s="401" t="e">
        <f>IF(AND(E415-$B$413&gt;=INDEX(Alternatives!$I$38:$I$57,MATCH(INDEX('Narrative &amp; Measures'!$A$28:$A$67,MATCH("Carbon Offsets",'Narrative &amp; Measures'!$B$28:$B$67,0)),Alternatives!$C$38:$C$57,0)),E415-$B$413&lt;(INDEX('Narrative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F423" s="401" t="e">
        <f ca="1">IF(AND(F415-$B$413&gt;=INDEX(Alternatives!$I$38:$I$57,MATCH(INDEX('Narrative &amp; Measures'!$A$28:$A$67,MATCH("Carbon Offsets",'Narrative &amp; Measures'!$B$28:$B$67,0)),Alternatives!$C$38:$C$57,0)),F415-$B$413&lt;(INDEX('Narrative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G423" s="401" t="e">
        <f ca="1">IF(AND(G415-$B$413&gt;=INDEX(Alternatives!$I$38:$I$57,MATCH(INDEX('Narrative &amp; Measures'!$A$28:$A$67,MATCH("Carbon Offsets",'Narrative &amp; Measures'!$B$28:$B$67,0)),Alternatives!$C$38:$C$57,0)),G415-$B$413&lt;(INDEX('Narrative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H423" s="401" t="e">
        <f ca="1">IF(AND(H415-$B$413&gt;=INDEX(Alternatives!$I$38:$I$57,MATCH(INDEX('Narrative &amp; Measures'!$A$28:$A$67,MATCH("Carbon Offsets",'Narrative &amp; Measures'!$B$28:$B$67,0)),Alternatives!$C$38:$C$57,0)),H415-$B$413&lt;(INDEX('Narrative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I423" s="401" t="e">
        <f ca="1">IF(AND(I415-$B$413&gt;=INDEX(Alternatives!$I$38:$I$57,MATCH(INDEX('Narrative &amp; Measures'!$A$28:$A$67,MATCH("Carbon Offsets",'Narrative &amp; Measures'!$B$28:$B$67,0)),Alternatives!$C$38:$C$57,0)),I415-$B$413&lt;(INDEX('Narrative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J423" s="401" t="e">
        <f ca="1">IF(AND(J415-$B$413&gt;=INDEX(Alternatives!$I$38:$I$57,MATCH(INDEX('Narrative &amp; Measures'!$A$28:$A$67,MATCH("Carbon Offsets",'Narrative &amp; Measures'!$B$28:$B$67,0)),Alternatives!$C$38:$C$57,0)),J415-$B$413&lt;(INDEX('Narrative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K423" s="401" t="e">
        <f ca="1">IF(AND(K415-$B$413&gt;=INDEX(Alternatives!$I$38:$I$57,MATCH(INDEX('Narrative &amp; Measures'!$A$28:$A$67,MATCH("Carbon Offsets",'Narrative &amp; Measures'!$B$28:$B$67,0)),Alternatives!$C$38:$C$57,0)),K415-$B$413&lt;(INDEX('Narrative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L423" s="401" t="e">
        <f ca="1">IF(AND(L415-$B$413&gt;=INDEX(Alternatives!$I$38:$I$57,MATCH(INDEX('Narrative &amp; Measures'!$A$28:$A$67,MATCH("Carbon Offsets",'Narrative &amp; Measures'!$B$28:$B$67,0)),Alternatives!$C$38:$C$57,0)),L415-$B$413&lt;(INDEX('Narrative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M423" s="401" t="e">
        <f ca="1">IF(AND(M415-$B$413&gt;=INDEX(Alternatives!$I$38:$I$57,MATCH(INDEX('Narrative &amp; Measures'!$A$28:$A$67,MATCH("Carbon Offsets",'Narrative &amp; Measures'!$B$28:$B$67,0)),Alternatives!$C$38:$C$57,0)),M415-$B$413&lt;(INDEX('Narrative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N423" s="401" t="e">
        <f ca="1">IF(AND(N415-$B$413&gt;=INDEX(Alternatives!$I$38:$I$57,MATCH(INDEX('Narrative &amp; Measures'!$A$28:$A$67,MATCH("Carbon Offsets",'Narrative &amp; Measures'!$B$28:$B$67,0)),Alternatives!$C$38:$C$57,0)),N415-$B$413&lt;(INDEX('Narrative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O423" s="401" t="e">
        <f ca="1">IF(AND(O415-$B$413&gt;=INDEX(Alternatives!$I$38:$I$57,MATCH(INDEX('Narrative &amp; Measures'!$A$28:$A$67,MATCH("Carbon Offsets",'Narrative &amp; Measures'!$B$28:$B$67,0)),Alternatives!$C$38:$C$57,0)),O415-$B$413&lt;(INDEX('Narrative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P423" s="401" t="e">
        <f ca="1">IF(AND(P415-$B$413&gt;=INDEX(Alternatives!$I$38:$I$57,MATCH(INDEX('Narrative &amp; Measures'!$A$28:$A$67,MATCH("Carbon Offsets",'Narrative &amp; Measures'!$B$28:$B$67,0)),Alternatives!$C$38:$C$57,0)),P415-$B$413&lt;(INDEX('Narrative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Q423" s="401" t="e">
        <f ca="1">IF(AND(Q415-$B$413&gt;=INDEX(Alternatives!$I$38:$I$57,MATCH(INDEX('Narrative &amp; Measures'!$A$28:$A$67,MATCH("Carbon Offsets",'Narrative &amp; Measures'!$B$28:$B$67,0)),Alternatives!$C$38:$C$57,0)),Q415-$B$413&lt;(INDEX('Narrative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R423" s="401" t="e">
        <f ca="1">IF(AND(R415-$B$413&gt;=INDEX(Alternatives!$I$38:$I$57,MATCH(INDEX('Narrative &amp; Measures'!$A$28:$A$67,MATCH("Carbon Offsets",'Narrative &amp; Measures'!$B$28:$B$67,0)),Alternatives!$C$38:$C$57,0)),R415-$B$413&lt;(INDEX('Narrative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S423" s="401" t="e">
        <f ca="1">IF(AND(S415-$B$413&gt;=INDEX(Alternatives!$I$38:$I$57,MATCH(INDEX('Narrative &amp; Measures'!$A$28:$A$67,MATCH("Carbon Offsets",'Narrative &amp; Measures'!$B$28:$B$67,0)),Alternatives!$C$38:$C$57,0)),S415-$B$413&lt;(INDEX('Narrative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T423" s="401" t="e">
        <f ca="1">IF(AND(T415-$B$413&gt;=INDEX(Alternatives!$I$38:$I$57,MATCH(INDEX('Narrative &amp; Measures'!$A$28:$A$67,MATCH("Carbon Offsets",'Narrative &amp; Measures'!$B$28:$B$67,0)),Alternatives!$C$38:$C$57,0)),T415-$B$413&lt;(INDEX('Narrative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U423" s="401" t="e">
        <f ca="1">IF(AND(U415-$B$413&gt;=INDEX(Alternatives!$I$38:$I$57,MATCH(INDEX('Narrative &amp; Measures'!$A$28:$A$67,MATCH("Carbon Offsets",'Narrative &amp; Measures'!$B$28:$B$67,0)),Alternatives!$C$38:$C$57,0)),U415-$B$413&lt;(INDEX('Narrative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c r="V423" s="401" t="e">
        <f ca="1">IF(AND(V415-$B$413&gt;=INDEX(Alternatives!$I$38:$I$57,MATCH(INDEX('Narrative &amp; Measures'!$A$28:$A$67,MATCH("Carbon Offsets",'Narrative &amp; Measures'!$B$28:$B$67,0)),Alternatives!$C$38:$C$57,0)),V415-$B$413&lt;(INDEX('Narrative &amp; Measures'!$T$28:$T$67,MATCH("Carbon Offsets",'Narrative &amp; Measures'!$B$28:$B$67,0))+INDEX(Alternatives!$I$38:$I$57,MATCH(INDEX('Narrative &amp; Measures'!$A$28:$A$67,MATCH("Carbon Offsets",'Narrative &amp; Measures'!$B$28:$B$67,0)),Alternatives!$C$38:$C$57,0)))),INDEX(Alternatives!$E$38:$E$57,MATCH(INDEX('Narrative &amp; Measures'!$A$28:$A$67,MATCH("Carbon Offsets",'Narrative &amp; Measures'!$B$28:$B$67,0)),Alternatives!$C$38:$C$57,0)),0)</f>
        <v>#N/A</v>
      </c>
    </row>
    <row r="424" spans="1:22" s="375" customFormat="1">
      <c r="B424" s="484"/>
      <c r="C424" s="484"/>
      <c r="D424" s="484"/>
      <c r="E424" s="484"/>
      <c r="F424" s="484"/>
      <c r="G424" s="484"/>
      <c r="H424" s="484"/>
      <c r="I424" s="484"/>
      <c r="J424" s="484"/>
      <c r="K424" s="484"/>
      <c r="L424" s="484"/>
      <c r="M424" s="484"/>
      <c r="N424" s="484"/>
      <c r="O424" s="484"/>
      <c r="P424" s="484"/>
      <c r="Q424" s="484"/>
      <c r="R424" s="484"/>
      <c r="S424" s="484"/>
      <c r="T424" s="484"/>
      <c r="U424" s="484"/>
      <c r="V424" s="484"/>
    </row>
    <row r="425" spans="1:22" s="375" customFormat="1">
      <c r="B425" s="375">
        <v>0</v>
      </c>
      <c r="C425" s="375">
        <v>1</v>
      </c>
      <c r="D425" s="375">
        <v>2</v>
      </c>
      <c r="E425" s="375">
        <v>3</v>
      </c>
      <c r="F425" s="375">
        <v>4</v>
      </c>
      <c r="G425" s="375">
        <v>5</v>
      </c>
      <c r="H425" s="375">
        <v>6</v>
      </c>
      <c r="I425" s="375">
        <v>7</v>
      </c>
      <c r="J425" s="375">
        <v>8</v>
      </c>
      <c r="K425" s="375">
        <v>9</v>
      </c>
      <c r="L425" s="375">
        <v>10</v>
      </c>
      <c r="M425" s="375">
        <v>11</v>
      </c>
      <c r="N425" s="375">
        <v>12</v>
      </c>
      <c r="O425" s="375">
        <v>13</v>
      </c>
      <c r="P425" s="375">
        <v>14</v>
      </c>
      <c r="Q425" s="375">
        <v>15</v>
      </c>
      <c r="R425" s="375">
        <v>16</v>
      </c>
      <c r="S425" s="375">
        <v>17</v>
      </c>
      <c r="T425" s="375">
        <v>18</v>
      </c>
      <c r="U425" s="375">
        <v>19</v>
      </c>
      <c r="V425" s="375">
        <v>20</v>
      </c>
    </row>
    <row r="426" spans="1:22" s="375" customFormat="1">
      <c r="A426" s="375" t="s">
        <v>635</v>
      </c>
      <c r="B426" s="479">
        <f>Alternatives!B11</f>
        <v>2021</v>
      </c>
      <c r="C426" s="479">
        <f>B426+1</f>
        <v>2022</v>
      </c>
      <c r="D426" s="479">
        <f>C426+1</f>
        <v>2023</v>
      </c>
      <c r="E426" s="479">
        <f t="shared" ref="E426:V426" si="264">D426+1</f>
        <v>2024</v>
      </c>
      <c r="F426" s="479">
        <f t="shared" si="264"/>
        <v>2025</v>
      </c>
      <c r="G426" s="479">
        <f t="shared" si="264"/>
        <v>2026</v>
      </c>
      <c r="H426" s="479">
        <f t="shared" si="264"/>
        <v>2027</v>
      </c>
      <c r="I426" s="479">
        <f t="shared" si="264"/>
        <v>2028</v>
      </c>
      <c r="J426" s="479">
        <f t="shared" si="264"/>
        <v>2029</v>
      </c>
      <c r="K426" s="479">
        <f t="shared" si="264"/>
        <v>2030</v>
      </c>
      <c r="L426" s="479">
        <f t="shared" si="264"/>
        <v>2031</v>
      </c>
      <c r="M426" s="479">
        <f t="shared" si="264"/>
        <v>2032</v>
      </c>
      <c r="N426" s="479">
        <f t="shared" si="264"/>
        <v>2033</v>
      </c>
      <c r="O426" s="479">
        <f t="shared" si="264"/>
        <v>2034</v>
      </c>
      <c r="P426" s="479">
        <f t="shared" si="264"/>
        <v>2035</v>
      </c>
      <c r="Q426" s="479">
        <f t="shared" si="264"/>
        <v>2036</v>
      </c>
      <c r="R426" s="479">
        <f t="shared" si="264"/>
        <v>2037</v>
      </c>
      <c r="S426" s="479">
        <f t="shared" si="264"/>
        <v>2038</v>
      </c>
      <c r="T426" s="479">
        <f t="shared" si="264"/>
        <v>2039</v>
      </c>
      <c r="U426" s="479">
        <f t="shared" si="264"/>
        <v>2040</v>
      </c>
      <c r="V426" s="479">
        <f t="shared" si="264"/>
        <v>2041</v>
      </c>
    </row>
    <row r="427" spans="1:22" s="375" customFormat="1">
      <c r="A427" s="375" t="str">
        <f>A270</f>
        <v>Baseline - Reactive Fines</v>
      </c>
      <c r="B427" s="484"/>
      <c r="C427" s="479">
        <f t="shared" ref="C427:V427" si="265">IF(C$426&gt;=2024,MAX(C385-C$475,0),0)</f>
        <v>0</v>
      </c>
      <c r="D427" s="479">
        <f t="shared" si="265"/>
        <v>0</v>
      </c>
      <c r="E427" s="479">
        <f t="shared" ca="1" si="265"/>
        <v>2627.0157355999982</v>
      </c>
      <c r="F427" s="479">
        <f t="shared" ca="1" si="265"/>
        <v>1153.9077356000016</v>
      </c>
      <c r="G427" s="479">
        <f t="shared" ca="1" si="265"/>
        <v>171.83573559999786</v>
      </c>
      <c r="H427" s="479">
        <f t="shared" ca="1" si="265"/>
        <v>0</v>
      </c>
      <c r="I427" s="479">
        <f t="shared" ca="1" si="265"/>
        <v>0</v>
      </c>
      <c r="J427" s="479">
        <f t="shared" ca="1" si="265"/>
        <v>0</v>
      </c>
      <c r="K427" s="479">
        <f t="shared" ca="1" si="265"/>
        <v>2785.2077356000009</v>
      </c>
      <c r="L427" s="479">
        <f t="shared" ca="1" si="265"/>
        <v>2299.6057355999983</v>
      </c>
      <c r="M427" s="479">
        <f t="shared" ca="1" si="265"/>
        <v>1814.0037355999993</v>
      </c>
      <c r="N427" s="479">
        <f t="shared" ca="1" si="265"/>
        <v>1318.0277355999997</v>
      </c>
      <c r="O427" s="479">
        <f t="shared" ca="1" si="265"/>
        <v>833.9077355999998</v>
      </c>
      <c r="P427" s="479">
        <f t="shared" ca="1" si="265"/>
        <v>7204.7877355999999</v>
      </c>
      <c r="Q427" s="479">
        <f t="shared" ca="1" si="265"/>
        <v>6720.6677356</v>
      </c>
      <c r="R427" s="479">
        <f t="shared" ca="1" si="265"/>
        <v>6236.5477355999992</v>
      </c>
      <c r="S427" s="479">
        <f t="shared" ca="1" si="265"/>
        <v>5752.4277355999993</v>
      </c>
      <c r="T427" s="479">
        <f t="shared" ca="1" si="265"/>
        <v>5268.3077355999994</v>
      </c>
      <c r="U427" s="479">
        <f t="shared" ca="1" si="265"/>
        <v>4784.1877355999995</v>
      </c>
      <c r="V427" s="479">
        <f t="shared" ca="1" si="265"/>
        <v>4784.1877355999995</v>
      </c>
    </row>
    <row r="428" spans="1:22" s="375" customFormat="1">
      <c r="A428" s="375" t="str">
        <f>A272</f>
        <v>Baseline - Offset Based Compliance</v>
      </c>
      <c r="B428" s="484"/>
      <c r="C428" s="479">
        <f t="shared" ref="C428:V428" si="266">IF(C$426&gt;=2024,MAX(C386-C$475,0),0)</f>
        <v>0</v>
      </c>
      <c r="D428" s="479">
        <f t="shared" si="266"/>
        <v>0</v>
      </c>
      <c r="E428" s="479">
        <f t="shared" ca="1" si="266"/>
        <v>2627.0157355999982</v>
      </c>
      <c r="F428" s="479">
        <f t="shared" ca="1" si="266"/>
        <v>1153.9077356000016</v>
      </c>
      <c r="G428" s="479">
        <f t="shared" ca="1" si="266"/>
        <v>171.83573559999786</v>
      </c>
      <c r="H428" s="479">
        <f t="shared" ca="1" si="266"/>
        <v>0</v>
      </c>
      <c r="I428" s="479">
        <f t="shared" ca="1" si="266"/>
        <v>0</v>
      </c>
      <c r="J428" s="479">
        <f t="shared" ca="1" si="266"/>
        <v>0</v>
      </c>
      <c r="K428" s="479">
        <f t="shared" ca="1" si="266"/>
        <v>2785.2077356000009</v>
      </c>
      <c r="L428" s="479">
        <f t="shared" ca="1" si="266"/>
        <v>2299.6057355999983</v>
      </c>
      <c r="M428" s="479">
        <f t="shared" ca="1" si="266"/>
        <v>1814.0037355999993</v>
      </c>
      <c r="N428" s="479">
        <f t="shared" ca="1" si="266"/>
        <v>1318.0277355999997</v>
      </c>
      <c r="O428" s="479">
        <f t="shared" ca="1" si="266"/>
        <v>833.9077355999998</v>
      </c>
      <c r="P428" s="479">
        <f t="shared" ca="1" si="266"/>
        <v>7204.7877355999999</v>
      </c>
      <c r="Q428" s="479">
        <f t="shared" ca="1" si="266"/>
        <v>6720.6677356</v>
      </c>
      <c r="R428" s="479">
        <f t="shared" ca="1" si="266"/>
        <v>6236.5477355999992</v>
      </c>
      <c r="S428" s="479">
        <f t="shared" ca="1" si="266"/>
        <v>5752.4277355999993</v>
      </c>
      <c r="T428" s="479">
        <f t="shared" ca="1" si="266"/>
        <v>5268.3077355999994</v>
      </c>
      <c r="U428" s="479">
        <f t="shared" ca="1" si="266"/>
        <v>4784.1877355999995</v>
      </c>
      <c r="V428" s="479">
        <f t="shared" ca="1" si="266"/>
        <v>4784.1877355999995</v>
      </c>
    </row>
    <row r="429" spans="1:22" s="375" customFormat="1">
      <c r="A429" s="375" t="str">
        <f>A274</f>
        <v>Alternative 1</v>
      </c>
      <c r="B429" s="484"/>
      <c r="C429" s="479">
        <f t="shared" ref="C429:V429" si="267">IF(C$426&gt;=2024,MAX(C387-C$475,0),0)</f>
        <v>0</v>
      </c>
      <c r="D429" s="479">
        <f t="shared" si="267"/>
        <v>0</v>
      </c>
      <c r="E429" s="479">
        <f t="shared" si="267"/>
        <v>2122.1832299999987</v>
      </c>
      <c r="F429" s="479">
        <f t="shared" si="267"/>
        <v>661.18323000000237</v>
      </c>
      <c r="G429" s="479">
        <f t="shared" si="267"/>
        <v>0</v>
      </c>
      <c r="H429" s="479">
        <f t="shared" si="267"/>
        <v>0</v>
      </c>
      <c r="I429" s="479">
        <f t="shared" si="267"/>
        <v>0</v>
      </c>
      <c r="J429" s="479">
        <f t="shared" si="267"/>
        <v>0</v>
      </c>
      <c r="K429" s="479">
        <f t="shared" si="267"/>
        <v>0</v>
      </c>
      <c r="L429" s="479">
        <f t="shared" si="267"/>
        <v>0</v>
      </c>
      <c r="M429" s="479">
        <f t="shared" si="267"/>
        <v>0</v>
      </c>
      <c r="N429" s="479">
        <f t="shared" si="267"/>
        <v>0</v>
      </c>
      <c r="O429" s="479">
        <f t="shared" si="267"/>
        <v>0</v>
      </c>
      <c r="P429" s="479">
        <f t="shared" si="267"/>
        <v>4110.2765500000005</v>
      </c>
      <c r="Q429" s="479">
        <f t="shared" si="267"/>
        <v>3583.2765500000005</v>
      </c>
      <c r="R429" s="479">
        <f t="shared" si="267"/>
        <v>3092.0997600000001</v>
      </c>
      <c r="S429" s="479">
        <f t="shared" si="267"/>
        <v>2810.3318600000002</v>
      </c>
      <c r="T429" s="479">
        <f t="shared" si="267"/>
        <v>2290.3318600000002</v>
      </c>
      <c r="U429" s="479">
        <f t="shared" si="267"/>
        <v>1770.33186</v>
      </c>
      <c r="V429" s="479">
        <f t="shared" si="267"/>
        <v>1770.33186</v>
      </c>
    </row>
    <row r="430" spans="1:22" s="375" customFormat="1">
      <c r="A430" s="375" t="str">
        <f>A276</f>
        <v>Alternative 2</v>
      </c>
      <c r="B430" s="484"/>
      <c r="C430" s="479">
        <f t="shared" ref="C430:V430" si="268">IF(C$426&gt;=2024,MAX(C388-C$475,0),0)</f>
        <v>0</v>
      </c>
      <c r="D430" s="479">
        <f t="shared" si="268"/>
        <v>0</v>
      </c>
      <c r="E430" s="479">
        <f t="shared" si="268"/>
        <v>2513.1224899999997</v>
      </c>
      <c r="F430" s="479">
        <f t="shared" si="268"/>
        <v>661.18323000000237</v>
      </c>
      <c r="G430" s="479">
        <f t="shared" si="268"/>
        <v>0</v>
      </c>
      <c r="H430" s="479">
        <f t="shared" si="268"/>
        <v>0</v>
      </c>
      <c r="I430" s="479">
        <f t="shared" si="268"/>
        <v>0</v>
      </c>
      <c r="J430" s="479">
        <f t="shared" si="268"/>
        <v>0</v>
      </c>
      <c r="K430" s="479">
        <f t="shared" si="268"/>
        <v>1164.8622300000006</v>
      </c>
      <c r="L430" s="479">
        <f t="shared" si="268"/>
        <v>531.86222999999882</v>
      </c>
      <c r="M430" s="479">
        <f t="shared" si="268"/>
        <v>0</v>
      </c>
      <c r="N430" s="479">
        <f t="shared" si="268"/>
        <v>0</v>
      </c>
      <c r="O430" s="479">
        <f t="shared" si="268"/>
        <v>0</v>
      </c>
      <c r="P430" s="479">
        <f t="shared" si="268"/>
        <v>4928.5086500000007</v>
      </c>
      <c r="Q430" s="479">
        <f t="shared" si="268"/>
        <v>4291.5086500000007</v>
      </c>
      <c r="R430" s="479">
        <f t="shared" si="268"/>
        <v>3690.3318599999998</v>
      </c>
      <c r="S430" s="479">
        <f t="shared" si="268"/>
        <v>3298.5639600000004</v>
      </c>
      <c r="T430" s="479">
        <f t="shared" si="268"/>
        <v>2668.56396</v>
      </c>
      <c r="U430" s="479">
        <f t="shared" si="268"/>
        <v>2038.56396</v>
      </c>
      <c r="V430" s="479">
        <f t="shared" si="268"/>
        <v>2038.56396</v>
      </c>
    </row>
    <row r="431" spans="1:22" s="375" customFormat="1">
      <c r="A431" s="375" t="str">
        <f>A278</f>
        <v>Alternative 3</v>
      </c>
      <c r="B431" s="484"/>
      <c r="C431" s="479">
        <f t="shared" ref="C431:V431" si="269">IF(C$426&gt;=2024,MAX(C389-C$475,0),0)</f>
        <v>0</v>
      </c>
      <c r="D431" s="479">
        <f t="shared" si="269"/>
        <v>0</v>
      </c>
      <c r="E431" s="479">
        <f t="shared" si="269"/>
        <v>3118.7689099999989</v>
      </c>
      <c r="F431" s="479">
        <f t="shared" si="269"/>
        <v>1555.7689100000025</v>
      </c>
      <c r="G431" s="479">
        <f t="shared" si="269"/>
        <v>172.82964999999786</v>
      </c>
      <c r="H431" s="479">
        <f t="shared" si="269"/>
        <v>0</v>
      </c>
      <c r="I431" s="479">
        <f t="shared" si="269"/>
        <v>0</v>
      </c>
      <c r="J431" s="479">
        <f t="shared" si="269"/>
        <v>0</v>
      </c>
      <c r="K431" s="479">
        <f t="shared" si="269"/>
        <v>1458.5086500000016</v>
      </c>
      <c r="L431" s="479">
        <f t="shared" si="269"/>
        <v>801.50864999999885</v>
      </c>
      <c r="M431" s="479">
        <f t="shared" si="269"/>
        <v>144.50865000000067</v>
      </c>
      <c r="N431" s="479">
        <f t="shared" si="269"/>
        <v>0</v>
      </c>
      <c r="O431" s="479">
        <f t="shared" si="269"/>
        <v>0</v>
      </c>
      <c r="P431" s="479">
        <f t="shared" si="269"/>
        <v>5028.5086500000007</v>
      </c>
      <c r="Q431" s="479">
        <f t="shared" si="269"/>
        <v>4371.5086500000007</v>
      </c>
      <c r="R431" s="479">
        <f t="shared" si="269"/>
        <v>3750.3318599999998</v>
      </c>
      <c r="S431" s="479">
        <f t="shared" si="269"/>
        <v>3298.5639600000004</v>
      </c>
      <c r="T431" s="479">
        <f t="shared" si="269"/>
        <v>2668.56396</v>
      </c>
      <c r="U431" s="479">
        <f t="shared" si="269"/>
        <v>2038.56396</v>
      </c>
      <c r="V431" s="479">
        <f t="shared" si="269"/>
        <v>2038.56396</v>
      </c>
    </row>
    <row r="432" spans="1:22" s="375" customFormat="1">
      <c r="B432" s="484"/>
      <c r="C432" s="484"/>
      <c r="D432" s="484"/>
      <c r="E432" s="484"/>
      <c r="F432" s="484"/>
      <c r="G432" s="484"/>
      <c r="H432" s="484"/>
      <c r="I432" s="484"/>
      <c r="J432" s="484"/>
      <c r="K432" s="484"/>
      <c r="L432" s="484"/>
      <c r="M432" s="484"/>
      <c r="N432" s="484"/>
      <c r="O432" s="484"/>
      <c r="P432" s="484"/>
      <c r="Q432" s="484"/>
      <c r="R432" s="484"/>
      <c r="S432" s="484"/>
      <c r="T432" s="484"/>
      <c r="U432" s="484"/>
      <c r="V432" s="484"/>
    </row>
    <row r="433" spans="1:24" s="375" customFormat="1">
      <c r="B433" s="484"/>
      <c r="C433" s="484"/>
      <c r="D433" s="484"/>
      <c r="E433" s="484"/>
      <c r="F433" s="484"/>
      <c r="G433" s="484"/>
      <c r="H433" s="484"/>
      <c r="I433" s="484"/>
      <c r="J433" s="484"/>
      <c r="K433" s="484"/>
      <c r="L433" s="484"/>
      <c r="M433" s="484"/>
      <c r="N433" s="484"/>
      <c r="O433" s="484"/>
      <c r="P433" s="484"/>
      <c r="Q433" s="484"/>
      <c r="R433" s="484"/>
      <c r="S433" s="484"/>
      <c r="T433" s="484"/>
      <c r="U433" s="484"/>
      <c r="V433" s="484"/>
    </row>
    <row r="434" spans="1:24" s="375" customFormat="1">
      <c r="A434" s="375" t="s">
        <v>636</v>
      </c>
      <c r="C434" s="375">
        <v>1</v>
      </c>
      <c r="D434" s="375">
        <v>2</v>
      </c>
      <c r="E434" s="375">
        <v>3</v>
      </c>
      <c r="F434" s="375">
        <v>4</v>
      </c>
      <c r="G434" s="375">
        <v>5</v>
      </c>
      <c r="H434" s="375">
        <v>6</v>
      </c>
      <c r="I434" s="375">
        <v>7</v>
      </c>
      <c r="J434" s="375">
        <v>8</v>
      </c>
      <c r="K434" s="375">
        <v>9</v>
      </c>
      <c r="L434" s="375">
        <v>10</v>
      </c>
      <c r="M434" s="375">
        <v>11</v>
      </c>
      <c r="N434" s="375">
        <v>12</v>
      </c>
      <c r="O434" s="375">
        <v>13</v>
      </c>
      <c r="P434" s="375">
        <v>14</v>
      </c>
      <c r="Q434" s="375">
        <v>15</v>
      </c>
      <c r="R434" s="375">
        <v>16</v>
      </c>
      <c r="S434" s="375">
        <v>17</v>
      </c>
      <c r="T434" s="375">
        <v>18</v>
      </c>
      <c r="U434" s="375">
        <v>19</v>
      </c>
      <c r="V434" s="375">
        <v>20</v>
      </c>
    </row>
    <row r="435" spans="1:24" s="375" customFormat="1">
      <c r="B435" s="479">
        <f>Alternatives!B11</f>
        <v>2021</v>
      </c>
      <c r="C435" s="479">
        <f t="shared" ref="C435:V435" si="270">B435+1</f>
        <v>2022</v>
      </c>
      <c r="D435" s="479">
        <f t="shared" si="270"/>
        <v>2023</v>
      </c>
      <c r="E435" s="479">
        <f t="shared" si="270"/>
        <v>2024</v>
      </c>
      <c r="F435" s="479">
        <f t="shared" si="270"/>
        <v>2025</v>
      </c>
      <c r="G435" s="479">
        <f t="shared" si="270"/>
        <v>2026</v>
      </c>
      <c r="H435" s="479">
        <f t="shared" si="270"/>
        <v>2027</v>
      </c>
      <c r="I435" s="479">
        <f t="shared" si="270"/>
        <v>2028</v>
      </c>
      <c r="J435" s="479">
        <f t="shared" si="270"/>
        <v>2029</v>
      </c>
      <c r="K435" s="479">
        <f t="shared" si="270"/>
        <v>2030</v>
      </c>
      <c r="L435" s="479">
        <f t="shared" si="270"/>
        <v>2031</v>
      </c>
      <c r="M435" s="479">
        <f t="shared" si="270"/>
        <v>2032</v>
      </c>
      <c r="N435" s="479">
        <f t="shared" si="270"/>
        <v>2033</v>
      </c>
      <c r="O435" s="479">
        <f t="shared" si="270"/>
        <v>2034</v>
      </c>
      <c r="P435" s="479">
        <f t="shared" si="270"/>
        <v>2035</v>
      </c>
      <c r="Q435" s="479">
        <f t="shared" si="270"/>
        <v>2036</v>
      </c>
      <c r="R435" s="479">
        <f t="shared" si="270"/>
        <v>2037</v>
      </c>
      <c r="S435" s="479">
        <f t="shared" si="270"/>
        <v>2038</v>
      </c>
      <c r="T435" s="479">
        <f t="shared" si="270"/>
        <v>2039</v>
      </c>
      <c r="U435" s="479">
        <f t="shared" si="270"/>
        <v>2040</v>
      </c>
      <c r="V435" s="479">
        <f t="shared" si="270"/>
        <v>2041</v>
      </c>
    </row>
    <row r="436" spans="1:24" s="375" customFormat="1">
      <c r="A436" s="375" t="str">
        <f>A268</f>
        <v>Baseline Reactive (Cap Op St+IR DM)</v>
      </c>
      <c r="B436" s="479">
        <f t="shared" ref="B436:V436" si="271">B384</f>
        <v>19156.560851999999</v>
      </c>
      <c r="C436" s="479">
        <f t="shared" si="271"/>
        <v>19156.560851999999</v>
      </c>
      <c r="D436" s="479">
        <f t="shared" ca="1" si="271"/>
        <v>18042.159735599998</v>
      </c>
      <c r="E436" s="479">
        <f t="shared" ca="1" si="271"/>
        <v>16078.015735599998</v>
      </c>
      <c r="F436" s="479">
        <f t="shared" ca="1" si="271"/>
        <v>14604.907735600002</v>
      </c>
      <c r="G436" s="479">
        <f t="shared" ca="1" si="271"/>
        <v>13622.835735599998</v>
      </c>
      <c r="H436" s="479">
        <f t="shared" ca="1" si="271"/>
        <v>12640.763735600001</v>
      </c>
      <c r="I436" s="479">
        <f t="shared" ca="1" si="271"/>
        <v>11582.6157356</v>
      </c>
      <c r="J436" s="479">
        <f t="shared" ca="1" si="271"/>
        <v>10611.411735599999</v>
      </c>
      <c r="K436" s="479">
        <f t="shared" ca="1" si="271"/>
        <v>9640.2077356000009</v>
      </c>
      <c r="L436" s="479">
        <f t="shared" ca="1" si="271"/>
        <v>9154.6057355999983</v>
      </c>
      <c r="M436" s="479">
        <f t="shared" ca="1" si="271"/>
        <v>8669.0037355999993</v>
      </c>
      <c r="N436" s="479">
        <f t="shared" ca="1" si="271"/>
        <v>8173.0277355999997</v>
      </c>
      <c r="O436" s="479">
        <f t="shared" ca="1" si="271"/>
        <v>7688.9077355999998</v>
      </c>
      <c r="P436" s="479">
        <f t="shared" ca="1" si="271"/>
        <v>7204.7877355999999</v>
      </c>
      <c r="Q436" s="479">
        <f t="shared" ca="1" si="271"/>
        <v>6720.6677356</v>
      </c>
      <c r="R436" s="479">
        <f t="shared" ca="1" si="271"/>
        <v>6236.5477355999992</v>
      </c>
      <c r="S436" s="479">
        <f t="shared" ca="1" si="271"/>
        <v>5752.4277355999993</v>
      </c>
      <c r="T436" s="479">
        <f t="shared" ca="1" si="271"/>
        <v>5268.3077355999994</v>
      </c>
      <c r="U436" s="479">
        <f t="shared" ca="1" si="271"/>
        <v>4784.1877355999995</v>
      </c>
      <c r="V436" s="479">
        <f t="shared" ca="1" si="271"/>
        <v>4784.1877355999995</v>
      </c>
    </row>
    <row r="437" spans="1:24" s="375" customFormat="1">
      <c r="A437" s="375" t="str">
        <f>A270</f>
        <v>Baseline - Reactive Fines</v>
      </c>
      <c r="B437" s="479">
        <f t="shared" ref="B437:V437" si="272">B385</f>
        <v>19156.560851999999</v>
      </c>
      <c r="C437" s="479">
        <f t="shared" si="272"/>
        <v>19156.560851999999</v>
      </c>
      <c r="D437" s="479">
        <f t="shared" ca="1" si="272"/>
        <v>18042.159735599998</v>
      </c>
      <c r="E437" s="479">
        <f t="shared" ca="1" si="272"/>
        <v>16078.015735599998</v>
      </c>
      <c r="F437" s="479">
        <f t="shared" ca="1" si="272"/>
        <v>14604.907735600002</v>
      </c>
      <c r="G437" s="479">
        <f t="shared" ca="1" si="272"/>
        <v>13622.835735599998</v>
      </c>
      <c r="H437" s="479">
        <f t="shared" ca="1" si="272"/>
        <v>12640.763735600001</v>
      </c>
      <c r="I437" s="479">
        <f t="shared" ca="1" si="272"/>
        <v>11582.6157356</v>
      </c>
      <c r="J437" s="479">
        <f t="shared" ca="1" si="272"/>
        <v>10611.411735599999</v>
      </c>
      <c r="K437" s="479">
        <f t="shared" ca="1" si="272"/>
        <v>9640.2077356000009</v>
      </c>
      <c r="L437" s="479">
        <f t="shared" ca="1" si="272"/>
        <v>9154.6057355999983</v>
      </c>
      <c r="M437" s="479">
        <f t="shared" ca="1" si="272"/>
        <v>8669.0037355999993</v>
      </c>
      <c r="N437" s="479">
        <f t="shared" ca="1" si="272"/>
        <v>8173.0277355999997</v>
      </c>
      <c r="O437" s="479">
        <f t="shared" ca="1" si="272"/>
        <v>7688.9077355999998</v>
      </c>
      <c r="P437" s="479">
        <f t="shared" ca="1" si="272"/>
        <v>7204.7877355999999</v>
      </c>
      <c r="Q437" s="479">
        <f t="shared" ca="1" si="272"/>
        <v>6720.6677356</v>
      </c>
      <c r="R437" s="479">
        <f t="shared" ca="1" si="272"/>
        <v>6236.5477355999992</v>
      </c>
      <c r="S437" s="479">
        <f t="shared" ca="1" si="272"/>
        <v>5752.4277355999993</v>
      </c>
      <c r="T437" s="479">
        <f t="shared" ca="1" si="272"/>
        <v>5268.3077355999994</v>
      </c>
      <c r="U437" s="479">
        <f t="shared" ca="1" si="272"/>
        <v>4784.1877355999995</v>
      </c>
      <c r="V437" s="479">
        <f t="shared" ca="1" si="272"/>
        <v>4784.1877355999995</v>
      </c>
    </row>
    <row r="438" spans="1:24" s="375" customFormat="1">
      <c r="A438" s="375" t="str">
        <f>A272</f>
        <v>Baseline - Offset Based Compliance</v>
      </c>
      <c r="B438" s="479">
        <f>B386-B428</f>
        <v>19156.560851999999</v>
      </c>
      <c r="C438" s="479">
        <f>C386-C428</f>
        <v>19156.560851999999</v>
      </c>
      <c r="D438" s="479">
        <f t="shared" ref="D438:V438" ca="1" si="273">D386-D428</f>
        <v>18042.159735599998</v>
      </c>
      <c r="E438" s="479">
        <f t="shared" ca="1" si="273"/>
        <v>13451</v>
      </c>
      <c r="F438" s="479">
        <f t="shared" ref="F438:J438" ca="1" si="274">F386-F428</f>
        <v>13451</v>
      </c>
      <c r="G438" s="479">
        <f t="shared" ca="1" si="274"/>
        <v>13451</v>
      </c>
      <c r="H438" s="479">
        <f t="shared" ca="1" si="274"/>
        <v>12640.763735600001</v>
      </c>
      <c r="I438" s="479">
        <f t="shared" ca="1" si="274"/>
        <v>11582.6157356</v>
      </c>
      <c r="J438" s="479">
        <f t="shared" ca="1" si="274"/>
        <v>10611.411735599999</v>
      </c>
      <c r="K438" s="479">
        <f ca="1">K386-K428</f>
        <v>6855</v>
      </c>
      <c r="L438" s="479">
        <f t="shared" ca="1" si="273"/>
        <v>6855</v>
      </c>
      <c r="M438" s="479">
        <f t="shared" ca="1" si="273"/>
        <v>6855</v>
      </c>
      <c r="N438" s="479">
        <f t="shared" ca="1" si="273"/>
        <v>6855</v>
      </c>
      <c r="O438" s="479">
        <f t="shared" ca="1" si="273"/>
        <v>6855</v>
      </c>
      <c r="P438" s="479">
        <f t="shared" ca="1" si="273"/>
        <v>0</v>
      </c>
      <c r="Q438" s="479">
        <f t="shared" ca="1" si="273"/>
        <v>0</v>
      </c>
      <c r="R438" s="479">
        <f t="shared" ca="1" si="273"/>
        <v>0</v>
      </c>
      <c r="S438" s="479">
        <f t="shared" ca="1" si="273"/>
        <v>0</v>
      </c>
      <c r="T438" s="479">
        <f t="shared" ca="1" si="273"/>
        <v>0</v>
      </c>
      <c r="U438" s="479">
        <f t="shared" ca="1" si="273"/>
        <v>0</v>
      </c>
      <c r="V438" s="479">
        <f t="shared" ca="1" si="273"/>
        <v>0</v>
      </c>
    </row>
    <row r="439" spans="1:24" s="375" customFormat="1">
      <c r="A439" s="375" t="s">
        <v>23</v>
      </c>
      <c r="B439" s="479">
        <f>IF(Alternatives!$B$58="Yes",B387-B429,B387)</f>
        <v>19156.560851999999</v>
      </c>
      <c r="C439" s="479">
        <f>IF(Alternatives!$B$58="Yes",C387-C429,C387)</f>
        <v>18873.817626</v>
      </c>
      <c r="D439" s="479">
        <f>IF(Alternatives!$B$58="Yes",D387-D429,D387)</f>
        <v>17952.122490000002</v>
      </c>
      <c r="E439" s="479">
        <f>IF(Alternatives!$B$58="Yes",E387-E429,E387)</f>
        <v>13451</v>
      </c>
      <c r="F439" s="479">
        <f>IF(Alternatives!$B$58="Yes",F387-F429,F387)</f>
        <v>13451</v>
      </c>
      <c r="G439" s="479">
        <f>IF(Alternatives!$B$58="Yes",G387-G429,G387)</f>
        <v>13337.951129999998</v>
      </c>
      <c r="H439" s="479">
        <f>IF(Alternatives!$B$58="Yes",H387-H429,H387)</f>
        <v>12311.951130000001</v>
      </c>
      <c r="I439" s="479">
        <f>IF(Alternatives!$B$58="Yes",I387-I429,I387)</f>
        <v>11285.951129999999</v>
      </c>
      <c r="J439" s="479">
        <f>IF(Alternatives!$B$58="Yes",J387-J429,J387)</f>
        <v>7697.6301299999996</v>
      </c>
      <c r="K439" s="479">
        <f>IF(Alternatives!$B$58="Yes",K387-K429,K387)</f>
        <v>6651.6301300000014</v>
      </c>
      <c r="L439" s="479">
        <f>IF(Alternatives!$B$58="Yes",L387-L429,L387)</f>
        <v>6128.6301299999996</v>
      </c>
      <c r="M439" s="479">
        <f>IF(Alternatives!$B$58="Yes",M387-M429,M387)</f>
        <v>5691.2765500000005</v>
      </c>
      <c r="N439" s="479">
        <f>IF(Alternatives!$B$58="Yes",N387-N429,N387)</f>
        <v>5164.2765500000005</v>
      </c>
      <c r="O439" s="479">
        <f>IF(Alternatives!$B$58="Yes",O387-O429,O387)</f>
        <v>4637.2765499999996</v>
      </c>
      <c r="P439" s="479">
        <f>IF(Alternatives!$B$58="Yes",P387-P429,P387)</f>
        <v>0</v>
      </c>
      <c r="Q439" s="479">
        <f>IF(Alternatives!$B$58="Yes",Q387-Q429,Q387)</f>
        <v>0</v>
      </c>
      <c r="R439" s="479">
        <f>IF(Alternatives!$B$58="Yes",R387-R429,R387)</f>
        <v>0</v>
      </c>
      <c r="S439" s="479">
        <f>IF(Alternatives!$B$58="Yes",S387-S429,S387)</f>
        <v>0</v>
      </c>
      <c r="T439" s="479">
        <f>IF(Alternatives!$B$58="Yes",T387-T429,T387)</f>
        <v>0</v>
      </c>
      <c r="U439" s="479">
        <f>IF(Alternatives!$B$58="Yes",U387-U429,U387)</f>
        <v>0</v>
      </c>
      <c r="V439" s="479">
        <f>IF(Alternatives!$B$58="Yes",V387-V429,V387)</f>
        <v>0</v>
      </c>
    </row>
    <row r="440" spans="1:24" s="375" customFormat="1">
      <c r="A440" s="375" t="s">
        <v>25</v>
      </c>
      <c r="B440" s="479">
        <f>IF(Alternatives!$B$83="Yes",B388-B430,B388)</f>
        <v>19156.560851999999</v>
      </c>
      <c r="C440" s="479">
        <f>IF(Alternatives!$B$83="Yes",C388-C430,C388)</f>
        <v>18931.610081999999</v>
      </c>
      <c r="D440" s="479">
        <f>IF(Alternatives!$B$83="Yes",D388-D430,D388)</f>
        <v>17952.122490000002</v>
      </c>
      <c r="E440" s="479">
        <f>IF(Alternatives!$B$83="Yes",E388-E430,E388)</f>
        <v>13451</v>
      </c>
      <c r="F440" s="479">
        <f>IF(Alternatives!$B$83="Yes",F388-F430,F388)</f>
        <v>13451</v>
      </c>
      <c r="G440" s="479">
        <f>IF(Alternatives!$B$83="Yes",G388-G430,G388)</f>
        <v>13138.183229999999</v>
      </c>
      <c r="H440" s="479">
        <f>IF(Alternatives!$B$83="Yes",H388-H430,H388)</f>
        <v>12164.183230000001</v>
      </c>
      <c r="I440" s="479">
        <f>IF(Alternatives!$B$83="Yes",I388-I430,I388)</f>
        <v>11190.183229999999</v>
      </c>
      <c r="J440" s="479">
        <f>IF(Alternatives!$B$83="Yes",J388-J430,J388)</f>
        <v>9285.8622299999988</v>
      </c>
      <c r="K440" s="479">
        <f>IF(Alternatives!$B$83="Yes",K388-K430,K388)</f>
        <v>6855</v>
      </c>
      <c r="L440" s="479">
        <f>IF(Alternatives!$B$83="Yes",L388-L430,L388)</f>
        <v>6855</v>
      </c>
      <c r="M440" s="479">
        <f>IF(Alternatives!$B$83="Yes",M388-M430,M388)</f>
        <v>6823.5086500000007</v>
      </c>
      <c r="N440" s="479">
        <f>IF(Alternatives!$B$83="Yes",N388-N430,N388)</f>
        <v>6202.5086499999998</v>
      </c>
      <c r="O440" s="479">
        <f>IF(Alternatives!$B$83="Yes",O388-O430,O388)</f>
        <v>5565.5086499999998</v>
      </c>
      <c r="P440" s="479">
        <f>IF(Alternatives!$B$83="Yes",P388-P430,P388)</f>
        <v>0</v>
      </c>
      <c r="Q440" s="479">
        <f>IF(Alternatives!$B$83="Yes",Q388-Q430,Q388)</f>
        <v>0</v>
      </c>
      <c r="R440" s="479">
        <f>IF(Alternatives!$B$83="Yes",R388-R430,R388)</f>
        <v>0</v>
      </c>
      <c r="S440" s="479">
        <f>IF(Alternatives!$B$83="Yes",S388-S430,S388)</f>
        <v>0</v>
      </c>
      <c r="T440" s="479">
        <f>IF(Alternatives!$B$83="Yes",T388-T430,T388)</f>
        <v>0</v>
      </c>
      <c r="U440" s="479">
        <f>IF(Alternatives!$B$83="Yes",U388-U430,U388)</f>
        <v>0</v>
      </c>
      <c r="V440" s="479">
        <f>IF(Alternatives!$B$83="Yes",V388-V430,V388)</f>
        <v>0</v>
      </c>
    </row>
    <row r="441" spans="1:24" s="375" customFormat="1">
      <c r="A441" s="375" t="s">
        <v>27</v>
      </c>
      <c r="B441" s="479">
        <f>IF(Alternatives!$B$108="Yes",B389-B431,B389)</f>
        <v>19156.560851999999</v>
      </c>
      <c r="C441" s="479">
        <f>IF(Alternatives!$B$108="Yes",C389-C431,C389)</f>
        <v>19043.048957999999</v>
      </c>
      <c r="D441" s="479">
        <f>IF(Alternatives!$B$108="Yes",D389-D431,D389)</f>
        <v>18653.768909999999</v>
      </c>
      <c r="E441" s="479">
        <f>IF(Alternatives!$B$108="Yes",E389-E431,E389)</f>
        <v>13451</v>
      </c>
      <c r="F441" s="479">
        <f>IF(Alternatives!$B$108="Yes",F389-F431,F389)</f>
        <v>13451</v>
      </c>
      <c r="G441" s="479">
        <f>IF(Alternatives!$B$108="Yes",G389-G431,G389)</f>
        <v>13451</v>
      </c>
      <c r="H441" s="479">
        <f>IF(Alternatives!$B$108="Yes",H389-H431,H389)</f>
        <v>12601.829650000001</v>
      </c>
      <c r="I441" s="479">
        <f>IF(Alternatives!$B$108="Yes",I389-I431,I389)</f>
        <v>10941.50865</v>
      </c>
      <c r="J441" s="479">
        <f>IF(Alternatives!$B$108="Yes",J389-J431,J389)</f>
        <v>9627.5086499999998</v>
      </c>
      <c r="K441" s="479">
        <f>IF(Alternatives!$B$108="Yes",K389-K431,K389)</f>
        <v>6855</v>
      </c>
      <c r="L441" s="479">
        <f>IF(Alternatives!$B$108="Yes",L389-L431,L389)</f>
        <v>6855</v>
      </c>
      <c r="M441" s="479">
        <f>IF(Alternatives!$B$108="Yes",M389-M431,M389)</f>
        <v>6855</v>
      </c>
      <c r="N441" s="479">
        <f>IF(Alternatives!$B$108="Yes",N389-N431,N389)</f>
        <v>6342.5086499999998</v>
      </c>
      <c r="O441" s="479">
        <f>IF(Alternatives!$B$108="Yes",O389-O431,O389)</f>
        <v>5685.5086499999998</v>
      </c>
      <c r="P441" s="479">
        <f>IF(Alternatives!$B$108="Yes",P389-P431,P389)</f>
        <v>0</v>
      </c>
      <c r="Q441" s="479">
        <f>IF(Alternatives!$B$108="Yes",Q389-Q431,Q389)</f>
        <v>0</v>
      </c>
      <c r="R441" s="479">
        <f>IF(Alternatives!$B$108="Yes",R389-R431,R389)</f>
        <v>0</v>
      </c>
      <c r="S441" s="479">
        <f>IF(Alternatives!$B$108="Yes",S389-S431,S389)</f>
        <v>0</v>
      </c>
      <c r="T441" s="479">
        <f>IF(Alternatives!$B$108="Yes",T389-T431,T389)</f>
        <v>0</v>
      </c>
      <c r="U441" s="479">
        <f>IF(Alternatives!$B$108="Yes",U389-U431,U389)</f>
        <v>0</v>
      </c>
      <c r="V441" s="479">
        <f>IF(Alternatives!$B$108="Yes",V389-V431,V389)</f>
        <v>0</v>
      </c>
    </row>
    <row r="442" spans="1:24" s="375" customFormat="1"/>
    <row r="443" spans="1:24" s="375" customFormat="1">
      <c r="A443" s="375" t="s">
        <v>637</v>
      </c>
      <c r="B443" s="375">
        <v>0</v>
      </c>
      <c r="C443" s="375">
        <v>1</v>
      </c>
      <c r="D443" s="375">
        <v>2</v>
      </c>
      <c r="E443" s="375">
        <v>3</v>
      </c>
      <c r="F443" s="375">
        <v>4</v>
      </c>
      <c r="G443" s="375">
        <v>5</v>
      </c>
      <c r="H443" s="375">
        <v>6</v>
      </c>
      <c r="I443" s="375">
        <v>7</v>
      </c>
      <c r="J443" s="375">
        <v>8</v>
      </c>
      <c r="K443" s="375">
        <v>9</v>
      </c>
      <c r="L443" s="375">
        <v>10</v>
      </c>
      <c r="M443" s="375">
        <v>11</v>
      </c>
      <c r="N443" s="375">
        <v>12</v>
      </c>
      <c r="O443" s="375">
        <v>13</v>
      </c>
      <c r="P443" s="375">
        <v>14</v>
      </c>
      <c r="Q443" s="375">
        <v>15</v>
      </c>
      <c r="R443" s="375">
        <v>16</v>
      </c>
      <c r="S443" s="375">
        <v>17</v>
      </c>
      <c r="T443" s="375">
        <v>18</v>
      </c>
      <c r="U443" s="375">
        <v>19</v>
      </c>
      <c r="V443" s="375">
        <v>20</v>
      </c>
      <c r="X443" s="375" t="s">
        <v>638</v>
      </c>
    </row>
    <row r="444" spans="1:24" s="375" customFormat="1">
      <c r="A444" s="375" t="str">
        <f>A270</f>
        <v>Baseline - Reactive Fines</v>
      </c>
      <c r="C444" s="401">
        <f>SUMIFS('Narrative &amp; Measures'!$BS$28:$BS$67,'Narrative &amp; Measures'!$B$28:$B$67,"Deferred Maintenance",'Narrative &amp; Measures'!$T$28:$T$67,"&gt;="&amp;(D$443-Alternatives!$I$16),'Narrative &amp; Measures'!$BU$28:$BU$67,"&lt;="&amp;C$443)-SUMIFS('Narrative &amp; Measures'!$BS$28:$BS$67,'Narrative &amp; Measures'!$B$28:$B$67,"Immediate Repairs: Life Safety &amp; Critical",'Narrative &amp; Measures'!$T$28:$T$67,"&gt;="&amp;(D$443-Alternatives!$I$16),'Narrative &amp; Measures'!$BU$28:$BU$67,"&lt;="&amp;C$443)</f>
        <v>0</v>
      </c>
      <c r="D444" s="401">
        <f>(SUMIFS('Narrative &amp; Measures'!$BS$28:$BS$67,'Narrative &amp; Measures'!$B$28:$B$67,"Deferred Maintenance",'Narrative &amp; Measures'!$T$28:$T$67,"&gt;="&amp;(E$443-Alternatives!$I$16),'Narrative &amp; Measures'!$BU$28:$BU$67,"&lt;="&amp;D$443)-SUMIFS('Narrative &amp; Measures'!$BS$28:$BS$67,'Narrative &amp; Measures'!$B$28:$B$67,"Immediate Repairs: Life Safety &amp; Critical",'Narrative &amp; Measures'!$T$28:$T$67,"&gt;="&amp;(E$443-Alternatives!$I$16),'Narrative &amp; Measures'!$BU$28:$BU$67,"&lt;="&amp;D$443))*(1+esc_elect)^C$443</f>
        <v>0</v>
      </c>
      <c r="E444" s="401">
        <f>(SUMIFS('Narrative &amp; Measures'!$BS$28:$BS$67,'Narrative &amp; Measures'!$B$28:$B$67,"Deferred Maintenance",'Narrative &amp; Measures'!$T$28:$T$67,"&gt;="&amp;(F$443-Alternatives!$I$16),'Narrative &amp; Measures'!$BU$28:$BU$67,"&lt;="&amp;E$443)-SUMIFS('Narrative &amp; Measures'!$BS$28:$BS$67,'Narrative &amp; Measures'!$B$28:$B$67,"Immediate Repairs: Life Safety &amp; Critical",'Narrative &amp; Measures'!$T$28:$T$67,"&gt;="&amp;(F$443-Alternatives!$I$16),'Narrative &amp; Measures'!$BU$28:$BU$67,"&lt;="&amp;E$443))*(1+esc_elect)^D$443</f>
        <v>0</v>
      </c>
      <c r="F444" s="401">
        <f>(SUMIFS('Narrative &amp; Measures'!$BS$28:$BS$67,'Narrative &amp; Measures'!$B$28:$B$67,"Deferred Maintenance",'Narrative &amp; Measures'!$T$28:$T$67,"&gt;="&amp;(G$443-Alternatives!$I$16),'Narrative &amp; Measures'!$BU$28:$BU$67,"&lt;="&amp;F$443)-SUMIFS('Narrative &amp; Measures'!$BS$28:$BS$67,'Narrative &amp; Measures'!$B$28:$B$67,"Immediate Repairs: Life Safety &amp; Critical",'Narrative &amp; Measures'!$T$28:$T$67,"&gt;="&amp;(G$443-Alternatives!$I$16),'Narrative &amp; Measures'!$BU$28:$BU$67,"&lt;="&amp;F$443))*(1+esc_elect)^E$443</f>
        <v>0</v>
      </c>
      <c r="G444" s="401">
        <f>(SUMIFS('Narrative &amp; Measures'!$BS$28:$BS$67,'Narrative &amp; Measures'!$B$28:$B$67,"Deferred Maintenance",'Narrative &amp; Measures'!$T$28:$T$67,"&gt;="&amp;(H$443-Alternatives!$I$16),'Narrative &amp; Measures'!$BU$28:$BU$67,"&lt;="&amp;G$443)-SUMIFS('Narrative &amp; Measures'!$BS$28:$BS$67,'Narrative &amp; Measures'!$B$28:$B$67,"Immediate Repairs: Life Safety &amp; Critical",'Narrative &amp; Measures'!$T$28:$T$67,"&gt;="&amp;(H$443-Alternatives!$I$16),'Narrative &amp; Measures'!$BU$28:$BU$67,"&lt;="&amp;G$443))*(1+esc_elect)^F$443</f>
        <v>0</v>
      </c>
      <c r="H444" s="401">
        <f>(SUMIFS('Narrative &amp; Measures'!$BS$28:$BS$67,'Narrative &amp; Measures'!$B$28:$B$67,"Deferred Maintenance",'Narrative &amp; Measures'!$T$28:$T$67,"&gt;="&amp;(I$443-Alternatives!$I$16),'Narrative &amp; Measures'!$BU$28:$BU$67,"&lt;="&amp;H$443)-SUMIFS('Narrative &amp; Measures'!$BS$28:$BS$67,'Narrative &amp; Measures'!$B$28:$B$67,"Immediate Repairs: Life Safety &amp; Critical",'Narrative &amp; Measures'!$T$28:$T$67,"&gt;="&amp;(I$443-Alternatives!$I$16),'Narrative &amp; Measures'!$BU$28:$BU$67,"&lt;="&amp;H$443))*(1+esc_elect)^G$443</f>
        <v>0</v>
      </c>
      <c r="I444" s="401">
        <f>(SUMIFS('Narrative &amp; Measures'!$BS$28:$BS$67,'Narrative &amp; Measures'!$B$28:$B$67,"Deferred Maintenance",'Narrative &amp; Measures'!$T$28:$T$67,"&gt;="&amp;(J$443-Alternatives!$I$16),'Narrative &amp; Measures'!$BU$28:$BU$67,"&lt;="&amp;I$443)-SUMIFS('Narrative &amp; Measures'!$BS$28:$BS$67,'Narrative &amp; Measures'!$B$28:$B$67,"Immediate Repairs: Life Safety &amp; Critical",'Narrative &amp; Measures'!$T$28:$T$67,"&gt;="&amp;(J$443-Alternatives!$I$16),'Narrative &amp; Measures'!$BU$28:$BU$67,"&lt;="&amp;I$443))*(1+esc_elect)^H$443</f>
        <v>0</v>
      </c>
      <c r="J444" s="401">
        <f>(SUMIFS('Narrative &amp; Measures'!$BS$28:$BS$67,'Narrative &amp; Measures'!$B$28:$B$67,"Deferred Maintenance",'Narrative &amp; Measures'!$T$28:$T$67,"&gt;="&amp;(K$443-Alternatives!$I$16),'Narrative &amp; Measures'!$BU$28:$BU$67,"&lt;="&amp;J$443)-SUMIFS('Narrative &amp; Measures'!$BS$28:$BS$67,'Narrative &amp; Measures'!$B$28:$B$67,"Immediate Repairs: Life Safety &amp; Critical",'Narrative &amp; Measures'!$T$28:$T$67,"&gt;="&amp;(K$443-Alternatives!$I$16),'Narrative &amp; Measures'!$BU$28:$BU$67,"&lt;="&amp;J$443))*(1+esc_elect)^I$443</f>
        <v>0</v>
      </c>
      <c r="K444" s="401">
        <f>(SUMIFS('Narrative &amp; Measures'!$BS$28:$BS$67,'Narrative &amp; Measures'!$B$28:$B$67,"Deferred Maintenance",'Narrative &amp; Measures'!$T$28:$T$67,"&gt;="&amp;(L$443-Alternatives!$I$16),'Narrative &amp; Measures'!$BU$28:$BU$67,"&lt;="&amp;K$443)-SUMIFS('Narrative &amp; Measures'!$BS$28:$BS$67,'Narrative &amp; Measures'!$B$28:$B$67,"Immediate Repairs: Life Safety &amp; Critical",'Narrative &amp; Measures'!$T$28:$T$67,"&gt;="&amp;(L$443-Alternatives!$I$16),'Narrative &amp; Measures'!$BU$28:$BU$67,"&lt;="&amp;K$443))*(1+esc_elect)^J$443</f>
        <v>0</v>
      </c>
      <c r="L444" s="401">
        <f>(SUMIFS('Narrative &amp; Measures'!$BS$28:$BS$67,'Narrative &amp; Measures'!$B$28:$B$67,"Deferred Maintenance",'Narrative &amp; Measures'!$T$28:$T$67,"&gt;="&amp;(M$443-Alternatives!$I$16),'Narrative &amp; Measures'!$BU$28:$BU$67,"&lt;="&amp;L$443)-SUMIFS('Narrative &amp; Measures'!$BS$28:$BS$67,'Narrative &amp; Measures'!$B$28:$B$67,"Immediate Repairs: Life Safety &amp; Critical",'Narrative &amp; Measures'!$T$28:$T$67,"&gt;="&amp;(M$443-Alternatives!$I$16),'Narrative &amp; Measures'!$BU$28:$BU$67,"&lt;="&amp;L$443))*(1+esc_elect)^K$443</f>
        <v>0</v>
      </c>
      <c r="M444" s="401">
        <f>(SUMIFS('Narrative &amp; Measures'!$BS$28:$BS$67,'Narrative &amp; Measures'!$B$28:$B$67,"Deferred Maintenance",'Narrative &amp; Measures'!$T$28:$T$67,"&gt;="&amp;(N$443-Alternatives!$I$16),'Narrative &amp; Measures'!$BU$28:$BU$67,"&lt;="&amp;M$443)-SUMIFS('Narrative &amp; Measures'!$BS$28:$BS$67,'Narrative &amp; Measures'!$B$28:$B$67,"Immediate Repairs: Life Safety &amp; Critical",'Narrative &amp; Measures'!$T$28:$T$67,"&gt;="&amp;(N$443-Alternatives!$I$16),'Narrative &amp; Measures'!$BU$28:$BU$67,"&lt;="&amp;M$443))*(1+esc_elect)^L$443</f>
        <v>0</v>
      </c>
      <c r="N444" s="401">
        <f>(SUMIFS('Narrative &amp; Measures'!$BS$28:$BS$67,'Narrative &amp; Measures'!$B$28:$B$67,"Deferred Maintenance",'Narrative &amp; Measures'!$T$28:$T$67,"&gt;="&amp;(O$443-Alternatives!$I$16),'Narrative &amp; Measures'!$BU$28:$BU$67,"&lt;="&amp;N$443)-SUMIFS('Narrative &amp; Measures'!$BS$28:$BS$67,'Narrative &amp; Measures'!$B$28:$B$67,"Immediate Repairs: Life Safety &amp; Critical",'Narrative &amp; Measures'!$T$28:$T$67,"&gt;="&amp;(O$443-Alternatives!$I$16),'Narrative &amp; Measures'!$BU$28:$BU$67,"&lt;="&amp;N$443))*(1+esc_elect)^M$443</f>
        <v>0</v>
      </c>
      <c r="O444" s="401">
        <f>(SUMIFS('Narrative &amp; Measures'!$BS$28:$BS$67,'Narrative &amp; Measures'!$B$28:$B$67,"Deferred Maintenance",'Narrative &amp; Measures'!$T$28:$T$67,"&gt;="&amp;(P$443-Alternatives!$I$16),'Narrative &amp; Measures'!$BU$28:$BU$67,"&lt;="&amp;O$443)-SUMIFS('Narrative &amp; Measures'!$BS$28:$BS$67,'Narrative &amp; Measures'!$B$28:$B$67,"Immediate Repairs: Life Safety &amp; Critical",'Narrative &amp; Measures'!$T$28:$T$67,"&gt;="&amp;(P$443-Alternatives!$I$16),'Narrative &amp; Measures'!$BU$28:$BU$67,"&lt;="&amp;O$443))*(1+esc_elect)^N$443</f>
        <v>0</v>
      </c>
      <c r="P444" s="401">
        <f>(SUMIFS('Narrative &amp; Measures'!$BS$28:$BS$67,'Narrative &amp; Measures'!$B$28:$B$67,"Deferred Maintenance",'Narrative &amp; Measures'!$T$28:$T$67,"&gt;="&amp;(Q$443-Alternatives!$I$16),'Narrative &amp; Measures'!$BU$28:$BU$67,"&lt;="&amp;P$443)-SUMIFS('Narrative &amp; Measures'!$BS$28:$BS$67,'Narrative &amp; Measures'!$B$28:$B$67,"Immediate Repairs: Life Safety &amp; Critical",'Narrative &amp; Measures'!$T$28:$T$67,"&gt;="&amp;(Q$443-Alternatives!$I$16),'Narrative &amp; Measures'!$BU$28:$BU$67,"&lt;="&amp;P$443))*(1+esc_elect)^O$443</f>
        <v>0</v>
      </c>
      <c r="Q444" s="401">
        <f>(SUMIFS('Narrative &amp; Measures'!$BS$28:$BS$67,'Narrative &amp; Measures'!$B$28:$B$67,"Deferred Maintenance",'Narrative &amp; Measures'!$T$28:$T$67,"&gt;="&amp;(R$443-Alternatives!$I$16),'Narrative &amp; Measures'!$BU$28:$BU$67,"&lt;="&amp;Q$443)-SUMIFS('Narrative &amp; Measures'!$BS$28:$BS$67,'Narrative &amp; Measures'!$B$28:$B$67,"Immediate Repairs: Life Safety &amp; Critical",'Narrative &amp; Measures'!$T$28:$T$67,"&gt;="&amp;(R$443-Alternatives!$I$16),'Narrative &amp; Measures'!$BU$28:$BU$67,"&lt;="&amp;Q$443))*(1+esc_elect)^P$443</f>
        <v>0</v>
      </c>
      <c r="R444" s="401">
        <f>(SUMIFS('Narrative &amp; Measures'!$BS$28:$BS$67,'Narrative &amp; Measures'!$B$28:$B$67,"Deferred Maintenance",'Narrative &amp; Measures'!$T$28:$T$67,"&gt;="&amp;(S$443-Alternatives!$I$16),'Narrative &amp; Measures'!$BU$28:$BU$67,"&lt;="&amp;R$443)-SUMIFS('Narrative &amp; Measures'!$BS$28:$BS$67,'Narrative &amp; Measures'!$B$28:$B$67,"Immediate Repairs: Life Safety &amp; Critical",'Narrative &amp; Measures'!$T$28:$T$67,"&gt;="&amp;(S$443-Alternatives!$I$16),'Narrative &amp; Measures'!$BU$28:$BU$67,"&lt;="&amp;R$443))*(1+esc_elect)^Q$443</f>
        <v>0</v>
      </c>
      <c r="S444" s="401">
        <f>(SUMIFS('Narrative &amp; Measures'!$BS$28:$BS$67,'Narrative &amp; Measures'!$B$28:$B$67,"Deferred Maintenance",'Narrative &amp; Measures'!$T$28:$T$67,"&gt;="&amp;(T$443-Alternatives!$I$16),'Narrative &amp; Measures'!$BU$28:$BU$67,"&lt;="&amp;S$443)-SUMIFS('Narrative &amp; Measures'!$BS$28:$BS$67,'Narrative &amp; Measures'!$B$28:$B$67,"Immediate Repairs: Life Safety &amp; Critical",'Narrative &amp; Measures'!$T$28:$T$67,"&gt;="&amp;(T$443-Alternatives!$I$16),'Narrative &amp; Measures'!$BU$28:$BU$67,"&lt;="&amp;S$443))*(1+esc_elect)^R$443</f>
        <v>0</v>
      </c>
      <c r="T444" s="401">
        <f>(SUMIFS('Narrative &amp; Measures'!$BS$28:$BS$67,'Narrative &amp; Measures'!$B$28:$B$67,"Deferred Maintenance",'Narrative &amp; Measures'!$T$28:$T$67,"&gt;="&amp;(U$443-Alternatives!$I$16),'Narrative &amp; Measures'!$BU$28:$BU$67,"&lt;="&amp;T$443)-SUMIFS('Narrative &amp; Measures'!$BS$28:$BS$67,'Narrative &amp; Measures'!$B$28:$B$67,"Immediate Repairs: Life Safety &amp; Critical",'Narrative &amp; Measures'!$T$28:$T$67,"&gt;="&amp;(U$443-Alternatives!$I$16),'Narrative &amp; Measures'!$BU$28:$BU$67,"&lt;="&amp;T$443))*(1+esc_elect)^S$443</f>
        <v>0</v>
      </c>
      <c r="U444" s="401">
        <f>(SUMIFS('Narrative &amp; Measures'!$BS$28:$BS$67,'Narrative &amp; Measures'!$B$28:$B$67,"Deferred Maintenance",'Narrative &amp; Measures'!$T$28:$T$67,"&gt;="&amp;(V$443-Alternatives!$I$16),'Narrative &amp; Measures'!$BU$28:$BU$67,"&lt;="&amp;U$443)-SUMIFS('Narrative &amp; Measures'!$BS$28:$BS$67,'Narrative &amp; Measures'!$B$28:$B$67,"Immediate Repairs: Life Safety &amp; Critical",'Narrative &amp; Measures'!$T$28:$T$67,"&gt;="&amp;(V$443-Alternatives!$I$16),'Narrative &amp; Measures'!$BU$28:$BU$67,"&lt;="&amp;U$443))*(1+esc_elect)^T$443</f>
        <v>0</v>
      </c>
      <c r="V444" s="401">
        <f>(SUMIFS('Narrative &amp; Measures'!$BS$28:$BS$67,'Narrative &amp; Measures'!$B$28:$B$67,"Deferred Maintenance",'Narrative &amp; Measures'!$T$28:$T$67,"&gt;="&amp;(W$443-Alternatives!$I$16),'Narrative &amp; Measures'!$BU$28:$BU$67,"&lt;="&amp;V$443)-SUMIFS('Narrative &amp; Measures'!$BS$28:$BS$67,'Narrative &amp; Measures'!$B$28:$B$67,"Immediate Repairs: Life Safety &amp; Critical",'Narrative &amp; Measures'!$T$28:$T$67,"&gt;="&amp;(W$443-Alternatives!$I$16),'Narrative &amp; Measures'!$BU$28:$BU$67,"&lt;="&amp;V$443))*(1+esc_elect)^U$443</f>
        <v>0</v>
      </c>
      <c r="X444" s="486">
        <f>NPV('Building Info &amp; Assumptions'!$E$63,IF(Alternatives!$B$10=5,C444:G444,IF(Alternatives!$B$10=10,C444:L444,IF(Alternatives!$B$10=15,C444:Q444,C444:V444))))/1000</f>
        <v>0</v>
      </c>
    </row>
    <row r="445" spans="1:24" s="375" customFormat="1">
      <c r="A445" s="375" t="str">
        <f>A272</f>
        <v>Baseline - Offset Based Compliance</v>
      </c>
      <c r="C445" s="401">
        <f>C444</f>
        <v>0</v>
      </c>
      <c r="D445" s="401">
        <f t="shared" ref="D445:V445" si="275">D444</f>
        <v>0</v>
      </c>
      <c r="E445" s="401">
        <f t="shared" si="275"/>
        <v>0</v>
      </c>
      <c r="F445" s="401">
        <f t="shared" si="275"/>
        <v>0</v>
      </c>
      <c r="G445" s="401">
        <f t="shared" si="275"/>
        <v>0</v>
      </c>
      <c r="H445" s="401">
        <f t="shared" si="275"/>
        <v>0</v>
      </c>
      <c r="I445" s="401">
        <f t="shared" si="275"/>
        <v>0</v>
      </c>
      <c r="J445" s="401">
        <f t="shared" si="275"/>
        <v>0</v>
      </c>
      <c r="K445" s="401">
        <f t="shared" si="275"/>
        <v>0</v>
      </c>
      <c r="L445" s="401">
        <f t="shared" si="275"/>
        <v>0</v>
      </c>
      <c r="M445" s="401">
        <f t="shared" si="275"/>
        <v>0</v>
      </c>
      <c r="N445" s="401">
        <f t="shared" si="275"/>
        <v>0</v>
      </c>
      <c r="O445" s="401">
        <f t="shared" si="275"/>
        <v>0</v>
      </c>
      <c r="P445" s="401">
        <f t="shared" si="275"/>
        <v>0</v>
      </c>
      <c r="Q445" s="401">
        <f t="shared" si="275"/>
        <v>0</v>
      </c>
      <c r="R445" s="401">
        <f t="shared" si="275"/>
        <v>0</v>
      </c>
      <c r="S445" s="401">
        <f t="shared" si="275"/>
        <v>0</v>
      </c>
      <c r="T445" s="401">
        <f t="shared" si="275"/>
        <v>0</v>
      </c>
      <c r="U445" s="401">
        <f t="shared" si="275"/>
        <v>0</v>
      </c>
      <c r="V445" s="401">
        <f t="shared" si="275"/>
        <v>0</v>
      </c>
      <c r="X445" s="486">
        <f>NPV('Building Info &amp; Assumptions'!$E$63,IF(Alternatives!$B$10=5,C445:G445,IF(Alternatives!$B$10=10,C445:L445,IF(Alternatives!$B$10=15,C445:Q445,C445:V445))))/1000</f>
        <v>0</v>
      </c>
    </row>
    <row r="446" spans="1:24" s="375" customFormat="1">
      <c r="A446" s="375" t="s">
        <v>23</v>
      </c>
      <c r="C446" s="401">
        <f t="array" ref="C446">SUM(SUMIFS('Narrative &amp; Measures'!$BS$28:$BS$67,'Narrative &amp; Measures'!$A$28:$A$67,Alternatives!$C$38:$C$57,'Narrative &amp; Measures'!$BZ$28:$BZ$67,"&gt;"&amp;C$443,'Narrative &amp; Measures'!$BV$28:$BV$67,"&lt;="&amp;C$443))</f>
        <v>0</v>
      </c>
      <c r="D446" s="401">
        <f t="array" ref="D446">(SUM(SUMIFS('Narrative &amp; Measures'!$BS$28:$BS$67,'Narrative &amp; Measures'!$A$28:$A$67,Alternatives!$C$38:$C$57,'Narrative &amp; Measures'!$BZ$28:$BZ$67,"&gt;"&amp;D$443,'Narrative &amp; Measures'!$BV$28:$BV$67,"&lt;="&amp;D$443)))*(1+esc_elect)^D$443</f>
        <v>-5100.5</v>
      </c>
      <c r="E446" s="401">
        <f t="array" ref="E446">(SUM(SUMIFS('Narrative &amp; Measures'!$BS$28:$BS$67,'Narrative &amp; Measures'!$A$28:$A$67,Alternatives!$C$38:$C$57,'Narrative &amp; Measures'!$BZ$28:$BZ$67,"&gt;"&amp;E$443,'Narrative &amp; Measures'!$BV$28:$BV$67,"&lt;="&amp;E$443)))*(1+esc_elect)^E$443</f>
        <v>-5151.5049999999992</v>
      </c>
      <c r="F446" s="401">
        <f t="array" ref="F446">(SUM(SUMIFS('Narrative &amp; Measures'!$BS$28:$BS$67,'Narrative &amp; Measures'!$A$28:$A$67,Alternatives!$C$38:$C$57,'Narrative &amp; Measures'!$BZ$28:$BZ$67,"&gt;"&amp;F$443,'Narrative &amp; Measures'!$BV$28:$BV$67,"&lt;="&amp;F$443)))*(1+esc_elect)^F$443</f>
        <v>-5203.0200500000001</v>
      </c>
      <c r="G446" s="401">
        <f t="array" ref="G446">(SUM(SUMIFS('Narrative &amp; Measures'!$BS$28:$BS$67,'Narrative &amp; Measures'!$A$28:$A$67,Alternatives!$C$38:$C$57,'Narrative &amp; Measures'!$BZ$28:$BZ$67,"&gt;"&amp;G$443,'Narrative &amp; Measures'!$BV$28:$BV$67,"&lt;="&amp;G$443)))*(1+esc_elect)^G$443</f>
        <v>-34683.331653299996</v>
      </c>
      <c r="H446" s="401">
        <f t="array" ref="H446">(SUM(SUMIFS('Narrative &amp; Measures'!$BS$28:$BS$67,'Narrative &amp; Measures'!$A$28:$A$67,Alternatives!$C$38:$C$57,'Narrative &amp; Measures'!$BZ$28:$BZ$67,"&gt;"&amp;H$443,'Narrative &amp; Measures'!$BV$28:$BV$67,"&lt;="&amp;H$443)))*(1+esc_elect)^H$443</f>
        <v>-35030.164969833007</v>
      </c>
      <c r="I446" s="401">
        <f t="array" ref="I446">(SUM(SUMIFS('Narrative &amp; Measures'!$BS$28:$BS$67,'Narrative &amp; Measures'!$A$28:$A$67,Alternatives!$C$38:$C$57,'Narrative &amp; Measures'!$BZ$28:$BZ$67,"&gt;"&amp;I$443,'Narrative &amp; Measures'!$BV$28:$BV$67,"&lt;="&amp;I$443)))*(1+esc_elect)^I$443</f>
        <v>-35380.466619531326</v>
      </c>
      <c r="J446" s="401">
        <f t="array" ref="J446">(SUM(SUMIFS('Narrative &amp; Measures'!$BS$28:$BS$67,'Narrative &amp; Measures'!$A$28:$A$67,Alternatives!$C$38:$C$57,'Narrative &amp; Measures'!$BZ$28:$BZ$67,"&gt;"&amp;J$443,'Narrative &amp; Measures'!$BV$28:$BV$67,"&lt;="&amp;J$443)))*(1+esc_elect)^J$443</f>
        <v>-46562.838342007453</v>
      </c>
      <c r="K446" s="401">
        <f t="array" ref="K446">(SUM(SUMIFS('Narrative &amp; Measures'!$BS$28:$BS$67,'Narrative &amp; Measures'!$A$28:$A$67,Alternatives!$C$38:$C$57,'Narrative &amp; Measures'!$BZ$28:$BZ$67,"&gt;"&amp;K$443,'Narrative &amp; Measures'!$BV$28:$BV$67,"&lt;="&amp;K$443)))*(1+esc_elect)^K$443</f>
        <v>-47028.466725427526</v>
      </c>
      <c r="L446" s="401">
        <f t="array" ref="L446">(SUM(SUMIFS('Narrative &amp; Measures'!$BS$28:$BS$67,'Narrative &amp; Measures'!$A$28:$A$67,Alternatives!$C$38:$C$57,'Narrative &amp; Measures'!$BZ$28:$BZ$67,"&gt;"&amp;L$443,'Narrative &amp; Measures'!$BV$28:$BV$67,"&lt;="&amp;L$443)))*(1+esc_elect)^L$443</f>
        <v>-47498.751392681806</v>
      </c>
      <c r="M446" s="401">
        <f t="array" ref="M446">(SUM(SUMIFS('Narrative &amp; Measures'!$BS$28:$BS$67,'Narrative &amp; Measures'!$A$28:$A$67,Alternatives!$C$38:$C$57,'Narrative &amp; Measures'!$BZ$28:$BZ$67,"&gt;"&amp;M$443,'Narrative &amp; Measures'!$BV$28:$BV$67,"&lt;="&amp;M$443)))*(1+esc_elect)^M$443</f>
        <v>-47973.738906608611</v>
      </c>
      <c r="N446" s="401">
        <f t="array" ref="N446">(SUM(SUMIFS('Narrative &amp; Measures'!$BS$28:$BS$67,'Narrative &amp; Measures'!$A$28:$A$67,Alternatives!$C$38:$C$57,'Narrative &amp; Measures'!$BZ$28:$BZ$67,"&gt;"&amp;N$443,'Narrative &amp; Measures'!$BV$28:$BV$67,"&lt;="&amp;N$443)))*(1+esc_elect)^N$443</f>
        <v>-48453.4762956747</v>
      </c>
      <c r="O446" s="401">
        <f t="array" ref="O446">(SUM(SUMIFS('Narrative &amp; Measures'!$BS$28:$BS$67,'Narrative &amp; Measures'!$A$28:$A$67,Alternatives!$C$38:$C$57,'Narrative &amp; Measures'!$BZ$28:$BZ$67,"&gt;"&amp;O$443,'Narrative &amp; Measures'!$BV$28:$BV$67,"&lt;="&amp;O$443)))*(1+esc_elect)^O$443</f>
        <v>-48938.011058631448</v>
      </c>
      <c r="P446" s="401">
        <f t="array" ref="P446">(SUM(SUMIFS('Narrative &amp; Measures'!$BS$28:$BS$67,'Narrative &amp; Measures'!$A$28:$A$67,Alternatives!$C$38:$C$57,'Narrative &amp; Measures'!$BZ$28:$BZ$67,"&gt;"&amp;P$443,'Narrative &amp; Measures'!$BV$28:$BV$67,"&lt;="&amp;P$443)))*(1+esc_elect)^P$443</f>
        <v>-49427.391169217772</v>
      </c>
      <c r="Q446" s="401">
        <f t="array" ref="Q446">(SUM(SUMIFS('Narrative &amp; Measures'!$BS$28:$BS$67,'Narrative &amp; Measures'!$A$28:$A$67,Alternatives!$C$38:$C$57,'Narrative &amp; Measures'!$BZ$28:$BZ$67,"&gt;"&amp;Q$443,'Narrative &amp; Measures'!$BV$28:$BV$67,"&lt;="&amp;Q$443)))*(1+esc_elect)^Q$443</f>
        <v>-49921.66508090993</v>
      </c>
      <c r="R446" s="401">
        <f t="array" ref="R446">(SUM(SUMIFS('Narrative &amp; Measures'!$BS$28:$BS$67,'Narrative &amp; Measures'!$A$28:$A$67,Alternatives!$C$38:$C$57,'Narrative &amp; Measures'!$BZ$28:$BZ$67,"&gt;"&amp;R$443,'Narrative &amp; Measures'!$BV$28:$BV$67,"&lt;="&amp;R$443)))*(1+esc_elect)^R$443</f>
        <v>-50420.881731719048</v>
      </c>
      <c r="S446" s="401">
        <f t="array" ref="S446">(SUM(SUMIFS('Narrative &amp; Measures'!$BS$28:$BS$67,'Narrative &amp; Measures'!$A$28:$A$67,Alternatives!$C$38:$C$57,'Narrative &amp; Measures'!$BZ$28:$BZ$67,"&gt;"&amp;S$443,'Narrative &amp; Measures'!$BV$28:$BV$67,"&lt;="&amp;S$443)))*(1+esc_elect)^S$443</f>
        <v>-45003.568392171561</v>
      </c>
      <c r="T446" s="401">
        <f t="array" ref="T446">(SUM(SUMIFS('Narrative &amp; Measures'!$BS$28:$BS$67,'Narrative &amp; Measures'!$A$28:$A$67,Alternatives!$C$38:$C$57,'Narrative &amp; Measures'!$BZ$28:$BZ$67,"&gt;"&amp;T$443,'Narrative &amp; Measures'!$BV$28:$BV$67,"&lt;="&amp;T$443)))*(1+esc_elect)^T$443</f>
        <v>-45453.604076093281</v>
      </c>
      <c r="U446" s="401">
        <f t="array" ref="U446">(SUM(SUMIFS('Narrative &amp; Measures'!$BS$28:$BS$67,'Narrative &amp; Measures'!$A$28:$A$67,Alternatives!$C$38:$C$57,'Narrative &amp; Measures'!$BZ$28:$BZ$67,"&gt;"&amp;U$443,'Narrative &amp; Measures'!$BV$28:$BV$67,"&lt;="&amp;U$443)))*(1+esc_elect)^U$443</f>
        <v>-45908.1401168542</v>
      </c>
      <c r="V446" s="401">
        <f t="array" ref="V446">(SUM(SUMIFS('Narrative &amp; Measures'!$BS$28:$BS$67,'Narrative &amp; Measures'!$A$28:$A$67,Alternatives!$C$38:$C$57,'Narrative &amp; Measures'!$BZ$28:$BZ$67,"&gt;"&amp;V$443,'Narrative &amp; Measures'!$BV$28:$BV$67,"&lt;="&amp;V$443)))*(1+esc_elect)^V$443</f>
        <v>-46367.22151802275</v>
      </c>
      <c r="X446" s="486">
        <f>NPV('Building Info &amp; Assumptions'!$E$63,IF(Alternatives!$B$10=5,C446:G446,IF(Alternatives!$B$10=10,C446:L446,IF(Alternatives!$B$10=15,C446:Q446,C446:V446))))/1000</f>
        <v>-410.03026440402442</v>
      </c>
    </row>
    <row r="447" spans="1:24" s="375" customFormat="1">
      <c r="A447" s="375" t="s">
        <v>25</v>
      </c>
      <c r="C447" s="401">
        <f t="array" ref="C447">SUM(SUMIFS('Narrative &amp; Measures'!$BS$28:$BS$67,'Narrative &amp; Measures'!$A$28:$A$67,Alternatives!$C$63:$C$82,'Narrative &amp; Measures'!$CA$28:$CA$67,"&gt;"&amp;C$382,'Narrative &amp; Measures'!$BW$28:$BW$67,"&lt;="&amp;C$443))</f>
        <v>0</v>
      </c>
      <c r="D447" s="401">
        <f t="array" ref="D447">(SUM(SUMIFS('Narrative &amp; Measures'!$BS$28:$BS$67,'Narrative &amp; Measures'!$A$28:$A$67,Alternatives!$C$63:$C$82,'Narrative &amp; Measures'!$CA$28:$CA$67,"&gt;"&amp;D$382,'Narrative &amp; Measures'!$BW$28:$BW$67,"&lt;="&amp;D$443)))*(1+esc_elect)^D$443</f>
        <v>-5100.5</v>
      </c>
      <c r="E447" s="401">
        <f t="array" ref="E447">(SUM(SUMIFS('Narrative &amp; Measures'!$BS$28:$BS$67,'Narrative &amp; Measures'!$A$28:$A$67,Alternatives!$C$63:$C$82,'Narrative &amp; Measures'!$CA$28:$CA$67,"&gt;"&amp;E$382,'Narrative &amp; Measures'!$BW$28:$BW$67,"&lt;="&amp;E$443)))*(1+esc_elect)^E$443</f>
        <v>-5151.5049999999992</v>
      </c>
      <c r="F447" s="401">
        <f t="array" ref="F447">(SUM(SUMIFS('Narrative &amp; Measures'!$BS$28:$BS$67,'Narrative &amp; Measures'!$A$28:$A$67,Alternatives!$C$63:$C$82,'Narrative &amp; Measures'!$CA$28:$CA$67,"&gt;"&amp;F$382,'Narrative &amp; Measures'!$BW$28:$BW$67,"&lt;="&amp;F$443)))*(1+esc_elect)^F$443</f>
        <v>-5203.0200500000001</v>
      </c>
      <c r="G447" s="401">
        <f t="array" ref="G447">(SUM(SUMIFS('Narrative &amp; Measures'!$BS$28:$BS$67,'Narrative &amp; Measures'!$A$28:$A$67,Alternatives!$C$63:$C$82,'Narrative &amp; Measures'!$CA$28:$CA$67,"&gt;"&amp;G$382,'Narrative &amp; Measures'!$BW$28:$BW$67,"&lt;="&amp;G$443)))*(1+esc_elect)^G$443</f>
        <v>-5255.0502504999995</v>
      </c>
      <c r="H447" s="401">
        <f t="array" ref="H447">(SUM(SUMIFS('Narrative &amp; Measures'!$BS$28:$BS$67,'Narrative &amp; Measures'!$A$28:$A$67,Alternatives!$C$63:$C$82,'Narrative &amp; Measures'!$CA$28:$CA$67,"&gt;"&amp;H$382,'Narrative &amp; Measures'!$BW$28:$BW$67,"&lt;="&amp;H$443)))*(1+esc_elect)^H$443</f>
        <v>-5307.600753005001</v>
      </c>
      <c r="I447" s="401">
        <f t="array" ref="I447">(SUM(SUMIFS('Narrative &amp; Measures'!$BS$28:$BS$67,'Narrative &amp; Measures'!$A$28:$A$67,Alternatives!$C$63:$C$82,'Narrative &amp; Measures'!$CA$28:$CA$67,"&gt;"&amp;I$382,'Narrative &amp; Measures'!$BW$28:$BW$67,"&lt;="&amp;I$443)))*(1+esc_elect)^I$443</f>
        <v>-5360.6767605350487</v>
      </c>
      <c r="J447" s="401">
        <f t="array" ref="J447">(SUM(SUMIFS('Narrative &amp; Measures'!$BS$28:$BS$67,'Narrative &amp; Measures'!$A$28:$A$67,Alternatives!$C$63:$C$82,'Narrative &amp; Measures'!$CA$28:$CA$67,"&gt;"&amp;J$382,'Narrative &amp; Measures'!$BW$28:$BW$67,"&lt;="&amp;J$443)))*(1+esc_elect)^J$443</f>
        <v>-111534.24067969226</v>
      </c>
      <c r="K447" s="401">
        <f t="array" ref="K447">(SUM(SUMIFS('Narrative &amp; Measures'!$BS$28:$BS$67,'Narrative &amp; Measures'!$A$28:$A$67,Alternatives!$C$63:$C$82,'Narrative &amp; Measures'!$CA$28:$CA$67,"&gt;"&amp;K$382,'Narrative &amp; Measures'!$BW$28:$BW$67,"&lt;="&amp;K$443)))*(1+esc_elect)^K$443</f>
        <v>-112649.58308648919</v>
      </c>
      <c r="L447" s="401">
        <f t="array" ref="L447">(SUM(SUMIFS('Narrative &amp; Measures'!$BS$28:$BS$67,'Narrative &amp; Measures'!$A$28:$A$67,Alternatives!$C$63:$C$82,'Narrative &amp; Measures'!$CA$28:$CA$67,"&gt;"&amp;L$382,'Narrative &amp; Measures'!$BW$28:$BW$67,"&lt;="&amp;L$443)))*(1+esc_elect)^L$443</f>
        <v>-113776.07891735408</v>
      </c>
      <c r="M447" s="401">
        <f t="array" ref="M447">(SUM(SUMIFS('Narrative &amp; Measures'!$BS$28:$BS$67,'Narrative &amp; Measures'!$A$28:$A$67,Alternatives!$C$63:$C$82,'Narrative &amp; Measures'!$CA$28:$CA$67,"&gt;"&amp;M$382,'Narrative &amp; Measures'!$BW$28:$BW$67,"&lt;="&amp;M$443)))*(1+esc_elect)^M$443</f>
        <v>-114913.83970652761</v>
      </c>
      <c r="N447" s="401">
        <f t="array" ref="N447">(SUM(SUMIFS('Narrative &amp; Measures'!$BS$28:$BS$67,'Narrative &amp; Measures'!$A$28:$A$67,Alternatives!$C$63:$C$82,'Narrative &amp; Measures'!$CA$28:$CA$67,"&gt;"&amp;N$382,'Narrative &amp; Measures'!$BW$28:$BW$67,"&lt;="&amp;N$443)))*(1+esc_elect)^N$443</f>
        <v>-116062.97810359289</v>
      </c>
      <c r="O447" s="401">
        <f t="array" ref="O447">(SUM(SUMIFS('Narrative &amp; Measures'!$BS$28:$BS$67,'Narrative &amp; Measures'!$A$28:$A$67,Alternatives!$C$63:$C$82,'Narrative &amp; Measures'!$CA$28:$CA$67,"&gt;"&amp;O$382,'Narrative &amp; Measures'!$BW$28:$BW$67,"&lt;="&amp;O$443)))*(1+esc_elect)^O$443</f>
        <v>-117223.60788462881</v>
      </c>
      <c r="P447" s="401">
        <f t="array" ref="P447">(SUM(SUMIFS('Narrative &amp; Measures'!$BS$28:$BS$67,'Narrative &amp; Measures'!$A$28:$A$67,Alternatives!$C$63:$C$82,'Narrative &amp; Measures'!$CA$28:$CA$67,"&gt;"&amp;P$382,'Narrative &amp; Measures'!$BW$28:$BW$67,"&lt;="&amp;P$443)))*(1+esc_elect)^P$443</f>
        <v>-118395.84396347513</v>
      </c>
      <c r="Q447" s="401">
        <f t="array" ref="Q447">(SUM(SUMIFS('Narrative &amp; Measures'!$BS$28:$BS$67,'Narrative &amp; Measures'!$A$28:$A$67,Alternatives!$C$63:$C$82,'Narrative &amp; Measures'!$CA$28:$CA$67,"&gt;"&amp;Q$382,'Narrative &amp; Measures'!$BW$28:$BW$67,"&lt;="&amp;Q$443)))*(1+esc_elect)^Q$443</f>
        <v>-119579.80240310985</v>
      </c>
      <c r="R447" s="401">
        <f t="array" ref="R447">(SUM(SUMIFS('Narrative &amp; Measures'!$BS$28:$BS$67,'Narrative &amp; Measures'!$A$28:$A$67,Alternatives!$C$63:$C$82,'Narrative &amp; Measures'!$CA$28:$CA$67,"&gt;"&amp;R$382,'Narrative &amp; Measures'!$BW$28:$BW$67,"&lt;="&amp;R$443)))*(1+esc_elect)^R$443</f>
        <v>-120775.60042714098</v>
      </c>
      <c r="S447" s="401">
        <f t="array" ref="S447">(SUM(SUMIFS('Narrative &amp; Measures'!$BS$28:$BS$67,'Narrative &amp; Measures'!$A$28:$A$67,Alternatives!$C$63:$C$82,'Narrative &amp; Measures'!$CA$28:$CA$67,"&gt;"&amp;S$382,'Narrative &amp; Measures'!$BW$28:$BW$67,"&lt;="&amp;S$443)))*(1+esc_elect)^S$443</f>
        <v>-116061.83427454771</v>
      </c>
      <c r="T447" s="401">
        <f t="array" ref="T447">(SUM(SUMIFS('Narrative &amp; Measures'!$BS$28:$BS$67,'Narrative &amp; Measures'!$A$28:$A$67,Alternatives!$C$63:$C$82,'Narrative &amp; Measures'!$CA$28:$CA$67,"&gt;"&amp;T$382,'Narrative &amp; Measures'!$BW$28:$BW$67,"&lt;="&amp;T$443)))*(1+esc_elect)^T$443</f>
        <v>-117222.45261729319</v>
      </c>
      <c r="U447" s="401">
        <f t="array" ref="U447">(SUM(SUMIFS('Narrative &amp; Measures'!$BS$28:$BS$67,'Narrative &amp; Measures'!$A$28:$A$67,Alternatives!$C$63:$C$82,'Narrative &amp; Measures'!$CA$28:$CA$67,"&gt;"&amp;U$382,'Narrative &amp; Measures'!$BW$28:$BW$67,"&lt;="&amp;U$443)))*(1+esc_elect)^U$443</f>
        <v>-118394.67714346609</v>
      </c>
      <c r="V447" s="401">
        <f t="array" ref="V447">(SUM(SUMIFS('Narrative &amp; Measures'!$BS$28:$BS$67,'Narrative &amp; Measures'!$A$28:$A$67,Alternatives!$C$63:$C$82,'Narrative &amp; Measures'!$CA$28:$CA$67,"&gt;"&amp;V$382,'Narrative &amp; Measures'!$BW$28:$BW$67,"&lt;="&amp;V$443)))*(1+esc_elect)^V$443</f>
        <v>-119578.62391490077</v>
      </c>
      <c r="X447" s="486">
        <f>NPV('Building Info &amp; Assumptions'!$E$63,IF(Alternatives!$B$10=5,C447:G447,IF(Alternatives!$B$10=10,C447:L447,IF(Alternatives!$B$10=15,C447:Q447,C447:V447))))/1000</f>
        <v>-801.09422085992094</v>
      </c>
    </row>
    <row r="448" spans="1:24" s="375" customFormat="1">
      <c r="A448" s="375" t="s">
        <v>27</v>
      </c>
      <c r="C448" s="401">
        <f t="array" ref="C448">SUM(SUMIFS('Narrative &amp; Measures'!$BS$28:$BS$67,'Narrative &amp; Measures'!$A$28:$A$67,Alternatives!$C$88:$C$107,'Narrative &amp; Measures'!$CB$28:$CB$67,"&gt;"&amp;C$443,'Narrative &amp; Measures'!$BX$28:$BX$67,"&lt;="&amp;C$443))</f>
        <v>0</v>
      </c>
      <c r="D448" s="401">
        <f t="array" ref="D448">(SUM(SUMIFS('Narrative &amp; Measures'!$BS$28:$BS$67,'Narrative &amp; Measures'!$A$28:$A$67,Alternatives!$C$88:$C$107,'Narrative &amp; Measures'!$CB$28:$CB$67,"&gt;"&amp;D$443,'Narrative &amp; Measures'!$BX$28:$BX$67,"&lt;="&amp;D$443)))*(1+esc_elect)^D$443</f>
        <v>-20402</v>
      </c>
      <c r="E448" s="401">
        <f t="array" ref="E448">(SUM(SUMIFS('Narrative &amp; Measures'!$BS$28:$BS$67,'Narrative &amp; Measures'!$A$28:$A$67,Alternatives!$C$88:$C$107,'Narrative &amp; Measures'!$CB$28:$CB$67,"&gt;"&amp;E$443,'Narrative &amp; Measures'!$BX$28:$BX$67,"&lt;="&amp;E$443)))*(1+esc_elect)^E$443</f>
        <v>-20606.019999999997</v>
      </c>
      <c r="F448" s="401">
        <f t="array" ref="F448">(SUM(SUMIFS('Narrative &amp; Measures'!$BS$28:$BS$67,'Narrative &amp; Measures'!$A$28:$A$67,Alternatives!$C$88:$C$107,'Narrative &amp; Measures'!$CB$28:$CB$67,"&gt;"&amp;F$443,'Narrative &amp; Measures'!$BX$28:$BX$67,"&lt;="&amp;F$443)))*(1+esc_elect)^F$443</f>
        <v>-20812.0802</v>
      </c>
      <c r="G448" s="401">
        <f t="array" ref="G448">(SUM(SUMIFS('Narrative &amp; Measures'!$BS$28:$BS$67,'Narrative &amp; Measures'!$A$28:$A$67,Alternatives!$C$88:$C$107,'Narrative &amp; Measures'!$CB$28:$CB$67,"&gt;"&amp;G$443,'Narrative &amp; Measures'!$BX$28:$BX$67,"&lt;="&amp;G$443)))*(1+esc_elect)^G$443</f>
        <v>-21020.201001999998</v>
      </c>
      <c r="H448" s="401">
        <f t="array" ref="H448">(SUM(SUMIFS('Narrative &amp; Measures'!$BS$28:$BS$67,'Narrative &amp; Measures'!$A$28:$A$67,Alternatives!$C$88:$C$107,'Narrative &amp; Measures'!$CB$28:$CB$67,"&gt;"&amp;H$443,'Narrative &amp; Measures'!$BX$28:$BX$67,"&lt;="&amp;H$443)))*(1+esc_elect)^H$443</f>
        <v>-21230.403012020004</v>
      </c>
      <c r="I448" s="401">
        <f t="array" ref="I448">(SUM(SUMIFS('Narrative &amp; Measures'!$BS$28:$BS$67,'Narrative &amp; Measures'!$A$28:$A$67,Alternatives!$C$88:$C$107,'Narrative &amp; Measures'!$CB$28:$CB$67,"&gt;"&amp;I$443,'Narrative &amp; Measures'!$BX$28:$BX$67,"&lt;="&amp;I$443)))*(1+esc_elect)^I$443</f>
        <v>-126511.97154862716</v>
      </c>
      <c r="J448" s="401">
        <f t="array" ref="J448">(SUM(SUMIFS('Narrative &amp; Measures'!$BS$28:$BS$67,'Narrative &amp; Measures'!$A$28:$A$67,Alternatives!$C$88:$C$107,'Narrative &amp; Measures'!$CB$28:$CB$67,"&gt;"&amp;J$443,'Narrative &amp; Measures'!$BX$28:$BX$67,"&lt;="&amp;J$443)))*(1+esc_elect)^J$443</f>
        <v>-127777.09126411346</v>
      </c>
      <c r="K448" s="401">
        <f t="array" ref="K448">(SUM(SUMIFS('Narrative &amp; Measures'!$BS$28:$BS$67,'Narrative &amp; Measures'!$A$28:$A$67,Alternatives!$C$88:$C$107,'Narrative &amp; Measures'!$CB$28:$CB$67,"&gt;"&amp;K$443,'Narrative &amp; Measures'!$BX$28:$BX$67,"&lt;="&amp;K$443)))*(1+esc_elect)^K$443</f>
        <v>-129054.86217675461</v>
      </c>
      <c r="L448" s="401">
        <f t="array" ref="L448">(SUM(SUMIFS('Narrative &amp; Measures'!$BS$28:$BS$67,'Narrative &amp; Measures'!$A$28:$A$67,Alternatives!$C$88:$C$107,'Narrative &amp; Measures'!$CB$28:$CB$67,"&gt;"&amp;L$443,'Narrative &amp; Measures'!$BX$28:$BX$67,"&lt;="&amp;L$443)))*(1+esc_elect)^L$443</f>
        <v>-130345.41079852216</v>
      </c>
      <c r="M448" s="401">
        <f t="array" ref="M448">(SUM(SUMIFS('Narrative &amp; Measures'!$BS$28:$BS$67,'Narrative &amp; Measures'!$A$28:$A$67,Alternatives!$C$88:$C$107,'Narrative &amp; Measures'!$CB$28:$CB$67,"&gt;"&amp;M$443,'Narrative &amp; Measures'!$BX$28:$BX$67,"&lt;="&amp;M$443)))*(1+esc_elect)^M$443</f>
        <v>-131648.86490650734</v>
      </c>
      <c r="N448" s="401">
        <f t="array" ref="N448">(SUM(SUMIFS('Narrative &amp; Measures'!$BS$28:$BS$67,'Narrative &amp; Measures'!$A$28:$A$67,Alternatives!$C$88:$C$107,'Narrative &amp; Measures'!$CB$28:$CB$67,"&gt;"&amp;N$443,'Narrative &amp; Measures'!$BX$28:$BX$67,"&lt;="&amp;N$443)))*(1+esc_elect)^N$443</f>
        <v>-132965.35355557242</v>
      </c>
      <c r="O448" s="401">
        <f t="array" ref="O448">(SUM(SUMIFS('Narrative &amp; Measures'!$BS$28:$BS$67,'Narrative &amp; Measures'!$A$28:$A$67,Alternatives!$C$88:$C$107,'Narrative &amp; Measures'!$CB$28:$CB$67,"&gt;"&amp;O$443,'Narrative &amp; Measures'!$BX$28:$BX$67,"&lt;="&amp;O$443)))*(1+esc_elect)^O$443</f>
        <v>-134295.00709112815</v>
      </c>
      <c r="P448" s="401">
        <f t="array" ref="P448">(SUM(SUMIFS('Narrative &amp; Measures'!$BS$28:$BS$67,'Narrative &amp; Measures'!$A$28:$A$67,Alternatives!$C$88:$C$107,'Narrative &amp; Measures'!$CB$28:$CB$67,"&gt;"&amp;P$443,'Narrative &amp; Measures'!$BX$28:$BX$67,"&lt;="&amp;P$443)))*(1+esc_elect)^P$443</f>
        <v>-135637.95716203947</v>
      </c>
      <c r="Q448" s="401">
        <f t="array" ref="Q448">(SUM(SUMIFS('Narrative &amp; Measures'!$BS$28:$BS$67,'Narrative &amp; Measures'!$A$28:$A$67,Alternatives!$C$88:$C$107,'Narrative &amp; Measures'!$CB$28:$CB$67,"&gt;"&amp;Q$443,'Narrative &amp; Measures'!$BX$28:$BX$67,"&lt;="&amp;Q$443)))*(1+esc_elect)^Q$443</f>
        <v>-136994.33673365982</v>
      </c>
      <c r="R448" s="401">
        <f t="array" ref="R448">(SUM(SUMIFS('Narrative &amp; Measures'!$BS$28:$BS$67,'Narrative &amp; Measures'!$A$28:$A$67,Alternatives!$C$88:$C$107,'Narrative &amp; Measures'!$CB$28:$CB$67,"&gt;"&amp;R$443,'Narrative &amp; Measures'!$BX$28:$BX$67,"&lt;="&amp;R$443)))*(1+esc_elect)^R$443</f>
        <v>-138364.28010099646</v>
      </c>
      <c r="S448" s="401">
        <f t="array" ref="S448">(SUM(SUMIFS('Narrative &amp; Measures'!$BS$28:$BS$67,'Narrative &amp; Measures'!$A$28:$A$67,Alternatives!$C$88:$C$107,'Narrative &amp; Measures'!$CB$28:$CB$67,"&gt;"&amp;S$443,'Narrative &amp; Measures'!$BX$28:$BX$67,"&lt;="&amp;S$443)))*(1+esc_elect)^S$443</f>
        <v>-116061.83427454771</v>
      </c>
      <c r="T448" s="401">
        <f t="array" ref="T448">(SUM(SUMIFS('Narrative &amp; Measures'!$BS$28:$BS$67,'Narrative &amp; Measures'!$A$28:$A$67,Alternatives!$C$88:$C$107,'Narrative &amp; Measures'!$CB$28:$CB$67,"&gt;"&amp;T$443,'Narrative &amp; Measures'!$BX$28:$BX$67,"&lt;="&amp;T$443)))*(1+esc_elect)^T$443</f>
        <v>-117222.45261729319</v>
      </c>
      <c r="U448" s="401">
        <f t="array" ref="U448">(SUM(SUMIFS('Narrative &amp; Measures'!$BS$28:$BS$67,'Narrative &amp; Measures'!$A$28:$A$67,Alternatives!$C$88:$C$107,'Narrative &amp; Measures'!$CB$28:$CB$67,"&gt;"&amp;U$443,'Narrative &amp; Measures'!$BX$28:$BX$67,"&lt;="&amp;U$443)))*(1+esc_elect)^U$443</f>
        <v>-118394.67714346609</v>
      </c>
      <c r="V448" s="401">
        <f t="array" ref="V448">(SUM(SUMIFS('Narrative &amp; Measures'!$BS$28:$BS$67,'Narrative &amp; Measures'!$A$28:$A$67,Alternatives!$C$88:$C$107,'Narrative &amp; Measures'!$CB$28:$CB$67,"&gt;"&amp;V$443,'Narrative &amp; Measures'!$BX$28:$BX$67,"&lt;="&amp;V$443)))*(1+esc_elect)^V$443</f>
        <v>-119578.62391490077</v>
      </c>
      <c r="X448" s="486">
        <f>NPV('Building Info &amp; Assumptions'!$E$63,IF(Alternatives!$B$10=5,C448:G448,IF(Alternatives!$B$10=10,C448:L448,IF(Alternatives!$B$10=15,C448:Q448,C448:V448))))/1000</f>
        <v>-1036.6325995025823</v>
      </c>
    </row>
    <row r="449" spans="1:24" s="375" customFormat="1"/>
    <row r="450" spans="1:24" s="375" customFormat="1">
      <c r="A450" s="375" t="s">
        <v>639</v>
      </c>
      <c r="B450" s="375">
        <v>0</v>
      </c>
      <c r="C450" s="375">
        <v>1</v>
      </c>
      <c r="D450" s="375">
        <v>2</v>
      </c>
      <c r="E450" s="375">
        <v>3</v>
      </c>
      <c r="F450" s="375">
        <v>4</v>
      </c>
      <c r="G450" s="375">
        <v>5</v>
      </c>
      <c r="H450" s="375">
        <v>6</v>
      </c>
      <c r="I450" s="375">
        <v>7</v>
      </c>
      <c r="J450" s="375">
        <v>8</v>
      </c>
      <c r="K450" s="375">
        <v>9</v>
      </c>
      <c r="L450" s="375">
        <v>10</v>
      </c>
      <c r="M450" s="375">
        <v>11</v>
      </c>
      <c r="N450" s="375">
        <v>12</v>
      </c>
      <c r="O450" s="375">
        <v>13</v>
      </c>
      <c r="P450" s="375">
        <v>14</v>
      </c>
      <c r="Q450" s="375">
        <v>15</v>
      </c>
      <c r="R450" s="375">
        <v>16</v>
      </c>
      <c r="S450" s="375">
        <v>17</v>
      </c>
      <c r="T450" s="375">
        <v>18</v>
      </c>
      <c r="U450" s="375">
        <v>19</v>
      </c>
      <c r="V450" s="375">
        <v>20</v>
      </c>
      <c r="X450" s="375" t="s">
        <v>638</v>
      </c>
    </row>
    <row r="451" spans="1:24" s="375" customFormat="1">
      <c r="A451" s="375" t="str">
        <f t="shared" ref="A451:A456" si="276">A384</f>
        <v>Baseline Reactive (Cap Op St+IR DM)</v>
      </c>
      <c r="B451" s="721"/>
      <c r="C451" s="401">
        <f t="shared" ref="C451:V451" si="277">($B322-C322)*Rate_ElecBlended*(1+esc_elect)^B$321+($B330-C330)*Rate_NatGas*(1+esc_gas)^B$321+($B338-C338)*Rate_Steam*(1+esc_steam)^B$321+($B346-C346)*rate_util4*(1+esc_chw)^B$321+($B354-C354)*Rate_Util5*(1+esc_hw)^B$321+($B362-C362)*Rate_util6*(1+esc_oil)^B$321</f>
        <v>0</v>
      </c>
      <c r="D451" s="401">
        <f t="shared" ca="1" si="277"/>
        <v>115851.84</v>
      </c>
      <c r="E451" s="401">
        <f t="shared" ca="1" si="277"/>
        <v>117752.9184</v>
      </c>
      <c r="F451" s="401">
        <f t="shared" ca="1" si="277"/>
        <v>119687.858784</v>
      </c>
      <c r="G451" s="401">
        <f t="shared" ca="1" si="277"/>
        <v>121657.29679584</v>
      </c>
      <c r="H451" s="401">
        <f t="shared" ca="1" si="277"/>
        <v>123661.88037627839</v>
      </c>
      <c r="I451" s="401">
        <f t="shared" ca="1" si="277"/>
        <v>205851.28745574871</v>
      </c>
      <c r="J451" s="401">
        <f t="shared" ca="1" si="277"/>
        <v>208729.64657153032</v>
      </c>
      <c r="K451" s="401">
        <f t="shared" ca="1" si="277"/>
        <v>211653.18620329438</v>
      </c>
      <c r="L451" s="401">
        <f t="shared" ca="1" si="277"/>
        <v>214622.68609469698</v>
      </c>
      <c r="M451" s="401">
        <f t="shared" ca="1" si="277"/>
        <v>217638.940345601</v>
      </c>
      <c r="N451" s="401">
        <f t="shared" ca="1" si="277"/>
        <v>243676.60028134531</v>
      </c>
      <c r="O451" s="401">
        <f t="shared" ca="1" si="277"/>
        <v>247018.5427806701</v>
      </c>
      <c r="P451" s="401">
        <f t="shared" ca="1" si="277"/>
        <v>250412.00823491835</v>
      </c>
      <c r="Q451" s="401">
        <f t="shared" ca="1" si="277"/>
        <v>253857.87394423789</v>
      </c>
      <c r="R451" s="401">
        <f t="shared" ca="1" si="277"/>
        <v>257357.03322319</v>
      </c>
      <c r="S451" s="401">
        <f t="shared" ca="1" si="277"/>
        <v>260910.39570572192</v>
      </c>
      <c r="T451" s="401">
        <f t="shared" ca="1" si="277"/>
        <v>264518.88765608513</v>
      </c>
      <c r="U451" s="401">
        <f t="shared" ca="1" si="277"/>
        <v>268183.45228581806</v>
      </c>
      <c r="V451" s="401">
        <f t="shared" ca="1" si="277"/>
        <v>271905.05007691169</v>
      </c>
      <c r="X451" s="725">
        <f ca="1">NPV('Building Info &amp; Assumptions'!$E$63,IF(Alternatives!$B$10=5,C451:G451,IF(Alternatives!$B$10=10,C451:L451,IF(Alternatives!$B$10=15,C451:Q451,C451:V451))))/1000</f>
        <v>2241.406927360656</v>
      </c>
    </row>
    <row r="452" spans="1:24" s="375" customFormat="1">
      <c r="A452" s="375" t="str">
        <f t="shared" si="276"/>
        <v>Baseline - Reactive Fines</v>
      </c>
      <c r="B452" s="721"/>
      <c r="C452" s="401">
        <f t="shared" ref="C452:V452" si="278">($B323-C323)*Rate_ElecBlended*(1+esc_elect)^B$321+($B331-C331)*Rate_NatGas*(1+esc_gas)^B$321+($B339-C339)*Rate_Steam*(1+esc_steam)^B$321+($B347-C347)*rate_util4*(1+esc_chw)^B$321+($B355-C355)*Rate_Util5*(1+esc_hw)^B$321+($B363-C363)*Rate_util6*(1+esc_oil)^B$321</f>
        <v>0</v>
      </c>
      <c r="D452" s="401">
        <f t="shared" ca="1" si="278"/>
        <v>115851.84</v>
      </c>
      <c r="E452" s="401">
        <f t="shared" ca="1" si="278"/>
        <v>117752.9184</v>
      </c>
      <c r="F452" s="401">
        <f t="shared" ca="1" si="278"/>
        <v>119687.858784</v>
      </c>
      <c r="G452" s="401">
        <f t="shared" ca="1" si="278"/>
        <v>121657.29679584</v>
      </c>
      <c r="H452" s="401">
        <f t="shared" ca="1" si="278"/>
        <v>123661.88037627839</v>
      </c>
      <c r="I452" s="401">
        <f t="shared" ca="1" si="278"/>
        <v>205851.28745574871</v>
      </c>
      <c r="J452" s="401">
        <f t="shared" ca="1" si="278"/>
        <v>208729.64657153032</v>
      </c>
      <c r="K452" s="401">
        <f t="shared" ca="1" si="278"/>
        <v>211653.18620329438</v>
      </c>
      <c r="L452" s="401">
        <f t="shared" ca="1" si="278"/>
        <v>214622.68609469698</v>
      </c>
      <c r="M452" s="401">
        <f t="shared" ca="1" si="278"/>
        <v>217638.940345601</v>
      </c>
      <c r="N452" s="401">
        <f t="shared" ca="1" si="278"/>
        <v>243676.60028134531</v>
      </c>
      <c r="O452" s="401">
        <f t="shared" ca="1" si="278"/>
        <v>247018.5427806701</v>
      </c>
      <c r="P452" s="401">
        <f t="shared" ca="1" si="278"/>
        <v>250412.00823491835</v>
      </c>
      <c r="Q452" s="401">
        <f t="shared" ca="1" si="278"/>
        <v>253857.87394423789</v>
      </c>
      <c r="R452" s="401">
        <f t="shared" ca="1" si="278"/>
        <v>257357.03322319</v>
      </c>
      <c r="S452" s="401">
        <f t="shared" ca="1" si="278"/>
        <v>260910.39570572192</v>
      </c>
      <c r="T452" s="401">
        <f t="shared" ca="1" si="278"/>
        <v>264518.88765608513</v>
      </c>
      <c r="U452" s="401">
        <f t="shared" ca="1" si="278"/>
        <v>268183.45228581806</v>
      </c>
      <c r="V452" s="401">
        <f t="shared" ca="1" si="278"/>
        <v>271905.05007691169</v>
      </c>
      <c r="X452" s="725">
        <f ca="1">NPV('Building Info &amp; Assumptions'!$E$63,IF(Alternatives!$B$10=5,C452:G452,IF(Alternatives!$B$10=10,C452:L452,IF(Alternatives!$B$10=15,C452:Q452,C452:V452))))/1000</f>
        <v>2241.406927360656</v>
      </c>
    </row>
    <row r="453" spans="1:24" s="375" customFormat="1">
      <c r="A453" s="375" t="str">
        <f t="shared" si="276"/>
        <v>Baseline - Offset Based Compliance</v>
      </c>
      <c r="B453" s="721"/>
      <c r="C453" s="401">
        <f>($B324-C324)*Rate_ElecBlended*(1+esc_elect)^B$321+($B332-C332)*Rate_NatGas*(1+esc_gas)^B$321+($B340-C340)*Rate_Steam*(1+esc_steam)^B$321+($B348-C348)*rate_util4*(1+esc_chw)^B$321+($B356-C356)*Rate_Util5*(1+esc_hw)^B$321+($B364-C364)*Rate_util6*(1+esc_oil)^B$321</f>
        <v>0</v>
      </c>
      <c r="D453" s="401">
        <f t="shared" ref="D453:V453" ca="1" si="279">($B324-D324)*Rate_ElecBlended*(1+esc_elect)^C$321+($B332-D332)*Rate_NatGas*(1+esc_gas)^C$321+($B340-D340)*Rate_Steam*(1+esc_steam)^C$321+($B348-D348)*rate_util4*(1+esc_chw)^C$321+($B356-D356)*Rate_Util5*(1+esc_hw)^C$321+($B364-D364)*Rate_util6*(1+esc_oil)^C$321</f>
        <v>115851.84</v>
      </c>
      <c r="E453" s="401">
        <f t="shared" ca="1" si="279"/>
        <v>117752.9184</v>
      </c>
      <c r="F453" s="401">
        <f t="shared" ca="1" si="279"/>
        <v>119687.858784</v>
      </c>
      <c r="G453" s="401">
        <f t="shared" ca="1" si="279"/>
        <v>121657.29679584</v>
      </c>
      <c r="H453" s="401">
        <f t="shared" ca="1" si="279"/>
        <v>123661.88037627839</v>
      </c>
      <c r="I453" s="401">
        <f t="shared" ca="1" si="279"/>
        <v>205851.28745574871</v>
      </c>
      <c r="J453" s="401">
        <f t="shared" ca="1" si="279"/>
        <v>208729.64657153032</v>
      </c>
      <c r="K453" s="401">
        <f t="shared" ca="1" si="279"/>
        <v>211653.18620329438</v>
      </c>
      <c r="L453" s="401">
        <f t="shared" ca="1" si="279"/>
        <v>214622.68609469698</v>
      </c>
      <c r="M453" s="401">
        <f t="shared" ca="1" si="279"/>
        <v>217638.940345601</v>
      </c>
      <c r="N453" s="401">
        <f t="shared" ca="1" si="279"/>
        <v>243676.60028134531</v>
      </c>
      <c r="O453" s="401">
        <f t="shared" ca="1" si="279"/>
        <v>247018.5427806701</v>
      </c>
      <c r="P453" s="401">
        <f t="shared" ca="1" si="279"/>
        <v>250412.00823491835</v>
      </c>
      <c r="Q453" s="401">
        <f t="shared" ca="1" si="279"/>
        <v>253857.87394423789</v>
      </c>
      <c r="R453" s="401">
        <f t="shared" ca="1" si="279"/>
        <v>257357.03322319</v>
      </c>
      <c r="S453" s="401">
        <f t="shared" ca="1" si="279"/>
        <v>260910.39570572192</v>
      </c>
      <c r="T453" s="401">
        <f t="shared" ca="1" si="279"/>
        <v>264518.88765608513</v>
      </c>
      <c r="U453" s="401">
        <f t="shared" ca="1" si="279"/>
        <v>268183.45228581806</v>
      </c>
      <c r="V453" s="401">
        <f t="shared" ca="1" si="279"/>
        <v>271905.05007691169</v>
      </c>
      <c r="X453" s="725">
        <f ca="1">NPV('Building Info &amp; Assumptions'!$E$63,IF(Alternatives!$B$10=5,C453:G453,IF(Alternatives!$B$10=10,C453:L453,IF(Alternatives!$B$10=15,C453:Q453,C453:V453))))/1000</f>
        <v>2241.406927360656</v>
      </c>
    </row>
    <row r="454" spans="1:24" s="375" customFormat="1">
      <c r="A454" s="375" t="str">
        <f t="shared" si="276"/>
        <v>Alternative 1</v>
      </c>
      <c r="B454" s="721"/>
      <c r="C454" s="401">
        <f t="shared" ref="C454:V454" si="280">($B325-C325)*Rate_ElecBlended*(1+esc_elect)^B$321+($B333-C333)*Rate_NatGas*(1+esc_gas)^B$321+($B341-C341)*Rate_Steam*(1+esc_steam)^B$321+($B349-C349)*rate_util4*(1+esc_chw)^B$321+($B357-C357)*Rate_Util5*(1+esc_hw)^B$321+($B365-C365)*Rate_util6*(1+esc_oil)^B$321</f>
        <v>157263.15789473685</v>
      </c>
      <c r="D454" s="401">
        <f t="shared" si="280"/>
        <v>223098.94736842107</v>
      </c>
      <c r="E454" s="401">
        <f t="shared" si="280"/>
        <v>494570.14736842108</v>
      </c>
      <c r="F454" s="401">
        <f t="shared" si="280"/>
        <v>503469.36884210526</v>
      </c>
      <c r="G454" s="401">
        <f t="shared" si="280"/>
        <v>353091.19416000001</v>
      </c>
      <c r="H454" s="401">
        <f t="shared" si="280"/>
        <v>362900.21262960002</v>
      </c>
      <c r="I454" s="401">
        <f t="shared" si="280"/>
        <v>372932.88341445598</v>
      </c>
      <c r="J454" s="401">
        <f t="shared" si="280"/>
        <v>2531594.9038124438</v>
      </c>
      <c r="K454" s="401">
        <f t="shared" si="280"/>
        <v>2586546.9430759195</v>
      </c>
      <c r="L454" s="401">
        <f t="shared" si="280"/>
        <v>2642641.2245365372</v>
      </c>
      <c r="M454" s="401">
        <f t="shared" si="280"/>
        <v>2589747.5132823451</v>
      </c>
      <c r="N454" s="401">
        <f t="shared" si="280"/>
        <v>2646607.4466830352</v>
      </c>
      <c r="O454" s="401">
        <f t="shared" si="280"/>
        <v>2704655.2285830905</v>
      </c>
      <c r="P454" s="401">
        <f t="shared" si="280"/>
        <v>2763915.1224508095</v>
      </c>
      <c r="Q454" s="401">
        <f t="shared" si="280"/>
        <v>2824411.8820888442</v>
      </c>
      <c r="R454" s="401">
        <f t="shared" si="280"/>
        <v>2810859.3203748865</v>
      </c>
      <c r="S454" s="401">
        <f t="shared" si="280"/>
        <v>2761253.3716651532</v>
      </c>
      <c r="T454" s="401">
        <f t="shared" si="280"/>
        <v>2820714.5337399072</v>
      </c>
      <c r="U454" s="401">
        <f t="shared" si="280"/>
        <v>2881407.2800025698</v>
      </c>
      <c r="V454" s="401">
        <f t="shared" si="280"/>
        <v>2943356.6657463657</v>
      </c>
      <c r="X454" s="725">
        <f>NPV('Building Info &amp; Assumptions'!$E$63,IF(Alternatives!$B$10=5,C454:G454,IF(Alternatives!$B$10=10,C454:L454,IF(Alternatives!$B$10=15,C454:Q454,C454:V454))))/1000</f>
        <v>20100.069003587825</v>
      </c>
    </row>
    <row r="455" spans="1:24" s="375" customFormat="1">
      <c r="A455" s="375" t="str">
        <f t="shared" si="276"/>
        <v>Alternative 2</v>
      </c>
      <c r="B455" s="721"/>
      <c r="C455" s="401">
        <f t="shared" ref="C455:V455" si="281">($B326-C326)*Rate_ElecBlended*(1+esc_elect)^B$321+($B334-C334)*Rate_NatGas*(1+esc_gas)^B$321+($B342-C342)*Rate_Steam*(1+esc_steam)^B$321+($B350-C350)*rate_util4*(1+esc_chw)^B$321+($B358-C358)*Rate_Util5*(1+esc_hw)^B$321+($B366-C366)*Rate_util6*(1+esc_oil)^B$321</f>
        <v>129473.68421052631</v>
      </c>
      <c r="D455" s="401">
        <f t="shared" si="281"/>
        <v>223098.94736842107</v>
      </c>
      <c r="E455" s="401">
        <f t="shared" si="281"/>
        <v>227981.93684210526</v>
      </c>
      <c r="F455" s="401">
        <f t="shared" si="281"/>
        <v>503469.36884210526</v>
      </c>
      <c r="G455" s="401">
        <f t="shared" si="281"/>
        <v>512536.6529305263</v>
      </c>
      <c r="H455" s="401">
        <f t="shared" si="281"/>
        <v>521775.26166783157</v>
      </c>
      <c r="I455" s="401">
        <f t="shared" si="281"/>
        <v>531188.52133666992</v>
      </c>
      <c r="J455" s="401">
        <f t="shared" si="281"/>
        <v>663183.5268516636</v>
      </c>
      <c r="K455" s="401">
        <f t="shared" si="281"/>
        <v>697154.08101023268</v>
      </c>
      <c r="L455" s="401">
        <f t="shared" si="281"/>
        <v>732011.11508818856</v>
      </c>
      <c r="M455" s="401">
        <f t="shared" si="281"/>
        <v>688317.78508737963</v>
      </c>
      <c r="N455" s="401">
        <f t="shared" si="281"/>
        <v>692721.59620616818</v>
      </c>
      <c r="O455" s="401">
        <f t="shared" si="281"/>
        <v>728743.77098466549</v>
      </c>
      <c r="P455" s="401">
        <f t="shared" si="281"/>
        <v>765708.06668727519</v>
      </c>
      <c r="Q455" s="401">
        <f t="shared" si="281"/>
        <v>803635.54250676651</v>
      </c>
      <c r="R455" s="401">
        <f t="shared" si="281"/>
        <v>767236.25987086305</v>
      </c>
      <c r="S455" s="401">
        <f t="shared" si="281"/>
        <v>694502.3438794408</v>
      </c>
      <c r="T455" s="401">
        <f t="shared" si="281"/>
        <v>730550.42426615627</v>
      </c>
      <c r="U455" s="401">
        <f t="shared" si="281"/>
        <v>767541.04659569683</v>
      </c>
      <c r="V455" s="401">
        <f t="shared" si="281"/>
        <v>805495.27751027094</v>
      </c>
      <c r="X455" s="725">
        <f>NPV('Building Info &amp; Assumptions'!$E$63,IF(Alternatives!$B$10=5,C455:G455,IF(Alternatives!$B$10=10,C455:L455,IF(Alternatives!$B$10=15,C455:Q455,C455:V455))))/1000</f>
        <v>6966.2268812686707</v>
      </c>
    </row>
    <row r="456" spans="1:24" s="375" customFormat="1">
      <c r="A456" s="375" t="str">
        <f t="shared" si="276"/>
        <v>Alternative 3</v>
      </c>
      <c r="C456" s="401">
        <f t="shared" ref="C456:V456" si="282">($B327-C327)*Rate_ElecBlended*(1+esc_elect)^B$321+($B335-C335)*Rate_NatGas*(1+esc_gas)^B$321+($B343-C343)*Rate_Steam*(1+esc_steam)^B$321+($B351-C351)*rate_util4*(1+esc_chw)^B$321+($B359-C359)*Rate_Util5*(1+esc_hw)^B$321+($B367-C367)*Rate_util6*(1+esc_oil)^B$321</f>
        <v>61684.210526315786</v>
      </c>
      <c r="D456" s="401">
        <f t="shared" si="282"/>
        <v>-154509.4736842105</v>
      </c>
      <c r="E456" s="401">
        <f t="shared" si="282"/>
        <v>-153810.56842105259</v>
      </c>
      <c r="F456" s="401">
        <f t="shared" si="282"/>
        <v>-153059.79410526311</v>
      </c>
      <c r="G456" s="401">
        <f t="shared" si="282"/>
        <v>122225.31351157892</v>
      </c>
      <c r="H456" s="401">
        <f t="shared" si="282"/>
        <v>127127.83599069479</v>
      </c>
      <c r="I456" s="401">
        <f t="shared" si="282"/>
        <v>231044.52841132646</v>
      </c>
      <c r="J456" s="401">
        <f t="shared" si="282"/>
        <v>259707.17430621758</v>
      </c>
      <c r="K456" s="401">
        <f t="shared" si="282"/>
        <v>289183.49067227263</v>
      </c>
      <c r="L456" s="401">
        <f t="shared" si="282"/>
        <v>319492.15509444801</v>
      </c>
      <c r="M456" s="401">
        <f t="shared" si="282"/>
        <v>350652.24275115458</v>
      </c>
      <c r="N456" s="401">
        <f t="shared" si="282"/>
        <v>382683.23460654356</v>
      </c>
      <c r="O456" s="401">
        <f t="shared" si="282"/>
        <v>415605.02576904465</v>
      </c>
      <c r="P456" s="401">
        <f t="shared" si="282"/>
        <v>449437.93401949806</v>
      </c>
      <c r="Q456" s="401">
        <f t="shared" si="282"/>
        <v>484202.7085123118</v>
      </c>
      <c r="R456" s="401">
        <f t="shared" si="282"/>
        <v>444609.09753646329</v>
      </c>
      <c r="S456" s="401">
        <f t="shared" si="282"/>
        <v>694502.3438794408</v>
      </c>
      <c r="T456" s="401">
        <f t="shared" si="282"/>
        <v>730550.42426615627</v>
      </c>
      <c r="U456" s="401">
        <f t="shared" si="282"/>
        <v>767541.04659569683</v>
      </c>
      <c r="V456" s="401">
        <f t="shared" si="282"/>
        <v>805495.27751027094</v>
      </c>
      <c r="X456" s="725">
        <f>NPV('Building Info &amp; Assumptions'!$E$63,IF(Alternatives!$B$10=5,C456:G456,IF(Alternatives!$B$10=10,C456:L456,IF(Alternatives!$B$10=15,C456:Q456,C456:V456))))/1000</f>
        <v>3088.9687855440397</v>
      </c>
    </row>
    <row r="457" spans="1:24" s="375" customFormat="1"/>
    <row r="458" spans="1:24" s="375" customFormat="1">
      <c r="B458" s="375" t="s">
        <v>640</v>
      </c>
    </row>
    <row r="459" spans="1:24" s="375" customFormat="1">
      <c r="A459" s="375" t="s">
        <v>590</v>
      </c>
      <c r="B459" s="375">
        <v>1</v>
      </c>
      <c r="C459" s="375">
        <v>2</v>
      </c>
      <c r="D459" s="375">
        <v>3</v>
      </c>
      <c r="E459" s="375">
        <v>4</v>
      </c>
      <c r="F459" s="375">
        <v>5</v>
      </c>
      <c r="G459" s="375">
        <v>6</v>
      </c>
      <c r="H459" s="375">
        <v>7</v>
      </c>
      <c r="I459" s="375">
        <v>8</v>
      </c>
      <c r="J459" s="375">
        <v>9</v>
      </c>
      <c r="K459" s="375">
        <v>10</v>
      </c>
      <c r="L459" s="375">
        <v>11</v>
      </c>
      <c r="M459" s="375">
        <v>12</v>
      </c>
      <c r="N459" s="375">
        <v>13</v>
      </c>
      <c r="O459" s="375">
        <v>14</v>
      </c>
      <c r="P459" s="375">
        <v>15</v>
      </c>
      <c r="Q459" s="375">
        <v>16</v>
      </c>
      <c r="R459" s="375">
        <v>17</v>
      </c>
      <c r="S459" s="375">
        <v>18</v>
      </c>
      <c r="T459" s="375">
        <v>19</v>
      </c>
      <c r="U459" s="375">
        <v>20</v>
      </c>
    </row>
    <row r="460" spans="1:24" s="375" customFormat="1">
      <c r="A460" s="375" t="str">
        <f>A270</f>
        <v>Baseline - Reactive Fines</v>
      </c>
      <c r="C460" s="483">
        <f t="shared" ref="C460:U460" ca="1" si="283">(C268-B268)/B268</f>
        <v>-7.0856403807133511E-2</v>
      </c>
      <c r="D460" s="483">
        <f t="shared" ca="1" si="283"/>
        <v>0.16215042590923856</v>
      </c>
      <c r="E460" s="483">
        <f t="shared" ca="1" si="283"/>
        <v>3.8140286118742837E-2</v>
      </c>
      <c r="F460" s="483">
        <f t="shared" ca="1" si="283"/>
        <v>3.8062047775818855E-2</v>
      </c>
      <c r="G460" s="483">
        <f t="shared" ca="1" si="283"/>
        <v>3.7985835128732715E-2</v>
      </c>
      <c r="H460" s="483">
        <f t="shared" ca="1" si="283"/>
        <v>-4.5685146865335841E-2</v>
      </c>
      <c r="I460" s="483">
        <f t="shared" ca="1" si="283"/>
        <v>0.12979097652638261</v>
      </c>
      <c r="J460" s="483">
        <f t="shared" ca="1" si="283"/>
        <v>3.7747283486039215E-2</v>
      </c>
      <c r="K460" s="483">
        <f t="shared" ca="1" si="283"/>
        <v>3.7679555558870224E-2</v>
      </c>
      <c r="L460" s="483">
        <f t="shared" ca="1" si="283"/>
        <v>3.7615390406833947E-2</v>
      </c>
      <c r="M460" s="483">
        <f t="shared" ca="1" si="283"/>
        <v>-6.0997559480124516E-3</v>
      </c>
      <c r="N460" s="483">
        <f t="shared" ca="1" si="283"/>
        <v>8.3292960272672065E-2</v>
      </c>
      <c r="O460" s="483">
        <f t="shared" ca="1" si="283"/>
        <v>3.7425158320280781E-2</v>
      </c>
      <c r="P460" s="483">
        <f t="shared" ca="1" si="283"/>
        <v>3.7367137521351047E-2</v>
      </c>
      <c r="Q460" s="483">
        <f t="shared" ca="1" si="283"/>
        <v>3.7311140951282372E-2</v>
      </c>
      <c r="R460" s="483">
        <f t="shared" ca="1" si="283"/>
        <v>3.7255726601824281E-2</v>
      </c>
      <c r="S460" s="483">
        <f t="shared" ca="1" si="283"/>
        <v>3.7202681125121102E-2</v>
      </c>
      <c r="T460" s="483">
        <f t="shared" ca="1" si="283"/>
        <v>3.7151195867696371E-2</v>
      </c>
      <c r="U460" s="483">
        <f t="shared" ca="1" si="283"/>
        <v>3.7100518377288574E-2</v>
      </c>
      <c r="V460" s="483"/>
    </row>
    <row r="461" spans="1:24" s="375" customFormat="1">
      <c r="A461" s="375" t="str">
        <f>A272</f>
        <v>Baseline - Offset Based Compliance</v>
      </c>
      <c r="C461" s="483">
        <f t="shared" ref="C461:U461" ca="1" si="284">(C270-B270)/B270</f>
        <v>-7.0856403807133511E-2</v>
      </c>
      <c r="D461" s="483">
        <f t="shared" ca="1" si="284"/>
        <v>0.16215042590923856</v>
      </c>
      <c r="E461" s="483">
        <f t="shared" ca="1" si="284"/>
        <v>3.8140286118742837E-2</v>
      </c>
      <c r="F461" s="483">
        <f t="shared" ca="1" si="284"/>
        <v>3.001791017536843E-2</v>
      </c>
      <c r="G461" s="483">
        <f t="shared" ca="1" si="284"/>
        <v>4.4929206843587761E-2</v>
      </c>
      <c r="H461" s="483">
        <f t="shared" ca="1" si="284"/>
        <v>-4.4623006458131546E-2</v>
      </c>
      <c r="I461" s="483">
        <f t="shared" ca="1" si="284"/>
        <v>0.12979097652638261</v>
      </c>
      <c r="J461" s="483">
        <f t="shared" ca="1" si="284"/>
        <v>3.7747283486039215E-2</v>
      </c>
      <c r="K461" s="483">
        <f t="shared" ca="1" si="284"/>
        <v>2.1574216646534455E-2</v>
      </c>
      <c r="L461" s="483">
        <f t="shared" ca="1" si="284"/>
        <v>4.0957076559436062E-2</v>
      </c>
      <c r="M461" s="483">
        <f t="shared" ca="1" si="284"/>
        <v>-3.5355064881696565E-3</v>
      </c>
      <c r="N461" s="483">
        <f t="shared" ca="1" si="284"/>
        <v>8.6823969020041969E-2</v>
      </c>
      <c r="O461" s="483">
        <f t="shared" ca="1" si="284"/>
        <v>4.0103587046888316E-2</v>
      </c>
      <c r="P461" s="483">
        <f t="shared" ca="1" si="284"/>
        <v>6.7628744638602066E-3</v>
      </c>
      <c r="Q461" s="483">
        <f t="shared" ca="1" si="284"/>
        <v>4.0921450290172266E-2</v>
      </c>
      <c r="R461" s="483">
        <f t="shared" ca="1" si="284"/>
        <v>4.0639182628365453E-2</v>
      </c>
      <c r="S461" s="483">
        <f t="shared" ca="1" si="284"/>
        <v>4.0372703019896532E-2</v>
      </c>
      <c r="T461" s="483">
        <f t="shared" ca="1" si="284"/>
        <v>4.0120310703447168E-2</v>
      </c>
      <c r="U461" s="483">
        <f t="shared" ca="1" si="284"/>
        <v>3.9880440876879024E-2</v>
      </c>
      <c r="V461" s="483"/>
    </row>
    <row r="462" spans="1:24" s="375" customFormat="1">
      <c r="A462" s="375" t="str">
        <f>A274</f>
        <v>Alternative 1</v>
      </c>
      <c r="C462" s="483">
        <f t="shared" ref="C462:U462" si="285">(C274-B274)/B274</f>
        <v>2.704709149992067E-2</v>
      </c>
      <c r="D462" s="483">
        <f t="shared" si="285"/>
        <v>1.915510326579568E-2</v>
      </c>
      <c r="E462" s="483">
        <f t="shared" si="285"/>
        <v>8.4069307918591824E-2</v>
      </c>
      <c r="F462" s="483">
        <f t="shared" si="285"/>
        <v>-1.8924588391348501E-2</v>
      </c>
      <c r="G462" s="483">
        <f t="shared" si="285"/>
        <v>9.6410486908917223E-2</v>
      </c>
      <c r="H462" s="483">
        <f t="shared" si="285"/>
        <v>3.7911469395619797E-2</v>
      </c>
      <c r="I462" s="483">
        <f t="shared" si="285"/>
        <v>-0.30581189066985082</v>
      </c>
      <c r="J462" s="483">
        <f t="shared" si="285"/>
        <v>0.58872078594828259</v>
      </c>
      <c r="K462" s="483">
        <f t="shared" si="285"/>
        <v>3.7301524341457351E-2</v>
      </c>
      <c r="L462" s="483">
        <f t="shared" si="285"/>
        <v>3.611047756340658E-2</v>
      </c>
      <c r="M462" s="483">
        <f t="shared" si="285"/>
        <v>3.721137448342822E-2</v>
      </c>
      <c r="N462" s="483">
        <f t="shared" si="285"/>
        <v>3.7154464253049344E-2</v>
      </c>
      <c r="O462" s="483">
        <f t="shared" si="285"/>
        <v>3.7100611188877412E-2</v>
      </c>
      <c r="P462" s="483">
        <f t="shared" si="285"/>
        <v>3.5834355870956458E-2</v>
      </c>
      <c r="Q462" s="483">
        <f t="shared" si="285"/>
        <v>3.652290151632194E-2</v>
      </c>
      <c r="R462" s="483">
        <f t="shared" si="285"/>
        <v>3.6222414317380519E-2</v>
      </c>
      <c r="S462" s="483">
        <f t="shared" si="285"/>
        <v>3.7006186195642728E-2</v>
      </c>
      <c r="T462" s="483">
        <f t="shared" si="285"/>
        <v>3.7022226601118084E-2</v>
      </c>
      <c r="U462" s="483">
        <f t="shared" si="285"/>
        <v>3.6970951613361509E-2</v>
      </c>
      <c r="V462" s="483"/>
    </row>
    <row r="463" spans="1:24" s="375" customFormat="1">
      <c r="A463" s="375" t="str">
        <f>A276</f>
        <v>Alternative 2</v>
      </c>
      <c r="C463" s="483">
        <f t="shared" ref="C463:U463" si="286">(C276-B276)/B276</f>
        <v>2.142439683391946E-2</v>
      </c>
      <c r="D463" s="483">
        <f t="shared" si="286"/>
        <v>6.4419803783281895E-2</v>
      </c>
      <c r="E463" s="483">
        <f t="shared" si="286"/>
        <v>-3.9346134903325324E-3</v>
      </c>
      <c r="F463" s="483">
        <f t="shared" si="286"/>
        <v>8.5404265280460079E-2</v>
      </c>
      <c r="G463" s="483">
        <f t="shared" si="286"/>
        <v>3.8127257780540512E-2</v>
      </c>
      <c r="H463" s="483">
        <f t="shared" si="286"/>
        <v>3.782138622272694E-2</v>
      </c>
      <c r="I463" s="483">
        <f t="shared" si="286"/>
        <v>-2.0686755698654816E-2</v>
      </c>
      <c r="J463" s="483">
        <f t="shared" si="286"/>
        <v>0.10036445425351588</v>
      </c>
      <c r="K463" s="483">
        <f t="shared" si="286"/>
        <v>3.7474087785906468E-2</v>
      </c>
      <c r="L463" s="483">
        <f t="shared" si="286"/>
        <v>3.7156091084226163E-2</v>
      </c>
      <c r="M463" s="483">
        <f t="shared" si="286"/>
        <v>3.7585643396645163E-2</v>
      </c>
      <c r="N463" s="483">
        <f t="shared" si="286"/>
        <v>3.7663924925903966E-2</v>
      </c>
      <c r="O463" s="483">
        <f t="shared" si="286"/>
        <v>3.7595861355973065E-2</v>
      </c>
      <c r="P463" s="483">
        <f t="shared" si="286"/>
        <v>3.6047179596815658E-2</v>
      </c>
      <c r="Q463" s="483">
        <f t="shared" si="286"/>
        <v>3.7019588166871883E-2</v>
      </c>
      <c r="R463" s="483">
        <f t="shared" si="286"/>
        <v>3.6700961105270262E-2</v>
      </c>
      <c r="S463" s="483">
        <f t="shared" si="286"/>
        <v>3.7486325289104484E-2</v>
      </c>
      <c r="T463" s="483">
        <f t="shared" si="286"/>
        <v>3.7490101551391895E-2</v>
      </c>
      <c r="U463" s="483">
        <f t="shared" si="286"/>
        <v>3.742575427595788E-2</v>
      </c>
      <c r="V463" s="483"/>
    </row>
    <row r="464" spans="1:24" s="375" customFormat="1">
      <c r="A464" s="375" t="str">
        <f>A278</f>
        <v>Alternative 3</v>
      </c>
      <c r="C464" s="483">
        <f t="shared" ref="C464:U464" si="287">(C278-B278)/B278</f>
        <v>2.7316998796582406E-2</v>
      </c>
      <c r="D464" s="483">
        <f t="shared" si="287"/>
        <v>4.5975570746081926E-2</v>
      </c>
      <c r="E464" s="483">
        <f t="shared" si="287"/>
        <v>3.7129309259473213E-2</v>
      </c>
      <c r="F464" s="483">
        <f t="shared" si="287"/>
        <v>-2.5806817648013833E-3</v>
      </c>
      <c r="G464" s="483">
        <f t="shared" si="287"/>
        <v>8.5377228931964186E-2</v>
      </c>
      <c r="H464" s="483">
        <f t="shared" si="287"/>
        <v>-2.1139888718100144E-2</v>
      </c>
      <c r="I464" s="483">
        <f t="shared" si="287"/>
        <v>0.10110257533045332</v>
      </c>
      <c r="J464" s="483">
        <f t="shared" si="287"/>
        <v>3.806046109498374E-2</v>
      </c>
      <c r="K464" s="483">
        <f t="shared" si="287"/>
        <v>3.7499526777660892E-2</v>
      </c>
      <c r="L464" s="483">
        <f t="shared" si="287"/>
        <v>3.8122631679954569E-2</v>
      </c>
      <c r="M464" s="483">
        <f t="shared" si="287"/>
        <v>3.8039488055414315E-2</v>
      </c>
      <c r="N464" s="483">
        <f t="shared" si="287"/>
        <v>3.7797936934248363E-2</v>
      </c>
      <c r="O464" s="483">
        <f t="shared" si="287"/>
        <v>3.7681413510688828E-2</v>
      </c>
      <c r="P464" s="483">
        <f t="shared" si="287"/>
        <v>3.6095620262755521E-2</v>
      </c>
      <c r="Q464" s="483">
        <f t="shared" si="287"/>
        <v>3.7105498643168769E-2</v>
      </c>
      <c r="R464" s="483">
        <f t="shared" si="287"/>
        <v>3.9676918926117993E-2</v>
      </c>
      <c r="S464" s="483">
        <f t="shared" si="287"/>
        <v>3.7503807200541785E-2</v>
      </c>
      <c r="T464" s="483">
        <f t="shared" si="287"/>
        <v>3.7490101551391895E-2</v>
      </c>
      <c r="U464" s="483">
        <f t="shared" si="287"/>
        <v>3.742575427595788E-2</v>
      </c>
      <c r="V464" s="483"/>
    </row>
    <row r="465" spans="1:24" s="375" customFormat="1"/>
    <row r="466" spans="1:24" s="375" customFormat="1">
      <c r="B466" s="375" t="s">
        <v>641</v>
      </c>
    </row>
    <row r="467" spans="1:24" s="375" customFormat="1">
      <c r="A467" s="375" t="s">
        <v>590</v>
      </c>
      <c r="B467" s="375">
        <v>1</v>
      </c>
      <c r="C467" s="375">
        <v>2</v>
      </c>
      <c r="D467" s="375">
        <v>3</v>
      </c>
      <c r="E467" s="375">
        <v>4</v>
      </c>
      <c r="F467" s="375">
        <v>5</v>
      </c>
      <c r="G467" s="375">
        <v>6</v>
      </c>
      <c r="H467" s="375">
        <v>7</v>
      </c>
      <c r="I467" s="375">
        <v>8</v>
      </c>
      <c r="J467" s="375">
        <v>9</v>
      </c>
      <c r="K467" s="375">
        <v>10</v>
      </c>
      <c r="L467" s="375">
        <v>11</v>
      </c>
      <c r="M467" s="375">
        <v>12</v>
      </c>
      <c r="N467" s="375">
        <v>13</v>
      </c>
      <c r="O467" s="375">
        <v>14</v>
      </c>
      <c r="P467" s="375">
        <v>15</v>
      </c>
      <c r="Q467" s="375">
        <v>16</v>
      </c>
      <c r="R467" s="375">
        <v>17</v>
      </c>
      <c r="S467" s="375">
        <v>18</v>
      </c>
      <c r="T467" s="375">
        <v>19</v>
      </c>
      <c r="U467" s="375">
        <v>20</v>
      </c>
    </row>
    <row r="468" spans="1:24" s="375" customFormat="1">
      <c r="A468" s="375" t="str">
        <f>A285</f>
        <v>Baseline - Reactive Fines</v>
      </c>
      <c r="C468" s="483">
        <f t="shared" ref="C468:U468" ca="1" si="288">(C285-B285)/B285</f>
        <v>0.18195908463102234</v>
      </c>
      <c r="D468" s="483">
        <f t="shared" ca="1" si="288"/>
        <v>-0.10376606215882207</v>
      </c>
      <c r="E468" s="483">
        <f t="shared" ca="1" si="288"/>
        <v>3.0557142721980256E-2</v>
      </c>
      <c r="F468" s="483">
        <f t="shared" ca="1" si="288"/>
        <v>4.2102674123130325E-2</v>
      </c>
      <c r="G468" s="483">
        <f t="shared" ca="1" si="288"/>
        <v>2.1008692064254767E-2</v>
      </c>
      <c r="H468" s="483">
        <f t="shared" ca="1" si="288"/>
        <v>0.14982193350280087</v>
      </c>
      <c r="I468" s="483">
        <f t="shared" ca="1" si="288"/>
        <v>-7.8578377367859414E-2</v>
      </c>
      <c r="J468" s="483">
        <f t="shared" ca="1" si="288"/>
        <v>3.0964573756894785E-2</v>
      </c>
      <c r="K468" s="483">
        <f t="shared" ca="1" si="288"/>
        <v>5.4853249303410276E-2</v>
      </c>
      <c r="L468" s="483">
        <f t="shared" ca="1" si="288"/>
        <v>2.6468703424014209E-2</v>
      </c>
      <c r="M468" s="483">
        <f t="shared" ca="1" si="288"/>
        <v>9.0967920017171133E-2</v>
      </c>
      <c r="N468" s="483">
        <f t="shared" ca="1" si="288"/>
        <v>-3.374862411187203E-2</v>
      </c>
      <c r="O468" s="483">
        <f t="shared" ca="1" si="288"/>
        <v>2.7384901805625014E-2</v>
      </c>
      <c r="P468" s="483">
        <f t="shared" ca="1" si="288"/>
        <v>7.7653708395356777E-2</v>
      </c>
      <c r="Q468" s="483">
        <f t="shared" ca="1" si="288"/>
        <v>2.664396401730779E-2</v>
      </c>
      <c r="R468" s="483">
        <f t="shared" ca="1" si="288"/>
        <v>2.6930740794832667E-2</v>
      </c>
      <c r="S468" s="483">
        <f t="shared" ca="1" si="288"/>
        <v>2.7209925622063307E-2</v>
      </c>
      <c r="T468" s="483">
        <f t="shared" ca="1" si="288"/>
        <v>2.7481501798461632E-2</v>
      </c>
      <c r="U468" s="483">
        <f t="shared" ca="1" si="288"/>
        <v>2.7745466014029014E-2</v>
      </c>
      <c r="V468" s="483"/>
    </row>
    <row r="469" spans="1:24" s="375" customFormat="1">
      <c r="A469" s="375" t="str">
        <f>A287</f>
        <v>Baseline - Offset Based Compliance</v>
      </c>
      <c r="C469" s="483">
        <f t="shared" ref="C469:U469" ca="1" si="289">(C287-B287)/B287</f>
        <v>0.18195908463102234</v>
      </c>
      <c r="D469" s="483">
        <f t="shared" ca="1" si="289"/>
        <v>-0.10376606215882207</v>
      </c>
      <c r="E469" s="483">
        <f t="shared" ca="1" si="289"/>
        <v>3.3273815231596213E-2</v>
      </c>
      <c r="F469" s="483">
        <f t="shared" ca="1" si="289"/>
        <v>2.9103425950477192E-2</v>
      </c>
      <c r="G469" s="483">
        <f t="shared" ca="1" si="289"/>
        <v>2.9706185334849332E-2</v>
      </c>
      <c r="H469" s="483">
        <f t="shared" ca="1" si="289"/>
        <v>0.1514758843333803</v>
      </c>
      <c r="I469" s="483">
        <f t="shared" ca="1" si="289"/>
        <v>-7.8578377367859414E-2</v>
      </c>
      <c r="J469" s="483">
        <f t="shared" ca="1" si="289"/>
        <v>3.0964573756894785E-2</v>
      </c>
      <c r="K469" s="483">
        <f t="shared" ca="1" si="289"/>
        <v>3.3744799751734271E-2</v>
      </c>
      <c r="L469" s="483">
        <f t="shared" ca="1" si="289"/>
        <v>3.0612570045055156E-2</v>
      </c>
      <c r="M469" s="483">
        <f t="shared" ca="1" si="289"/>
        <v>9.5931492946456906E-2</v>
      </c>
      <c r="N469" s="483">
        <f t="shared" ca="1" si="289"/>
        <v>-3.0918444033305161E-2</v>
      </c>
      <c r="O469" s="483">
        <f t="shared" ca="1" si="289"/>
        <v>3.08571509404631E-2</v>
      </c>
      <c r="P469" s="483">
        <f t="shared" ca="1" si="289"/>
        <v>3.7242907065388214E-2</v>
      </c>
      <c r="Q469" s="483">
        <f t="shared" ca="1" si="289"/>
        <v>3.0941824412901154E-2</v>
      </c>
      <c r="R469" s="483">
        <f t="shared" ca="1" si="289"/>
        <v>3.101619722946871E-2</v>
      </c>
      <c r="S469" s="483">
        <f t="shared" ca="1" si="289"/>
        <v>3.1089560540205504E-2</v>
      </c>
      <c r="T469" s="483">
        <f t="shared" ca="1" si="289"/>
        <v>3.1161859567461769E-2</v>
      </c>
      <c r="U469" s="483">
        <f t="shared" ca="1" si="289"/>
        <v>3.1233042498566285E-2</v>
      </c>
      <c r="V469" s="483"/>
    </row>
    <row r="470" spans="1:24" s="375" customFormat="1">
      <c r="A470" s="375" t="str">
        <f>A289</f>
        <v>Alternative 1</v>
      </c>
      <c r="C470" s="483">
        <f t="shared" ref="C470:U470" si="290">(C289-B289)/B289</f>
        <v>4.5834234092191714E-2</v>
      </c>
      <c r="D470" s="483">
        <f t="shared" si="290"/>
        <v>5.6199314153920529E-2</v>
      </c>
      <c r="E470" s="483">
        <f t="shared" si="290"/>
        <v>-2.8349767702121345E-2</v>
      </c>
      <c r="F470" s="483">
        <f t="shared" si="290"/>
        <v>0.11267449711268508</v>
      </c>
      <c r="G470" s="483">
        <f t="shared" si="290"/>
        <v>-4.2995576002916328E-2</v>
      </c>
      <c r="H470" s="483">
        <f t="shared" si="290"/>
        <v>3.0765306742486408E-2</v>
      </c>
      <c r="I470" s="483">
        <f t="shared" si="290"/>
        <v>0.53434093112826075</v>
      </c>
      <c r="J470" s="483">
        <f t="shared" si="290"/>
        <v>-0.33205330447122711</v>
      </c>
      <c r="K470" s="483">
        <f t="shared" si="290"/>
        <v>3.1370286426448485E-2</v>
      </c>
      <c r="L470" s="483">
        <f t="shared" si="290"/>
        <v>3.3239219612674183E-2</v>
      </c>
      <c r="M470" s="483">
        <f t="shared" si="290"/>
        <v>3.1483759978440183E-2</v>
      </c>
      <c r="N470" s="483">
        <f t="shared" si="290"/>
        <v>3.1553831233103263E-2</v>
      </c>
      <c r="O470" s="483">
        <f t="shared" si="290"/>
        <v>3.1622831860858312E-2</v>
      </c>
      <c r="P470" s="483">
        <f t="shared" si="290"/>
        <v>3.3651232909251552E-2</v>
      </c>
      <c r="Q470" s="483">
        <f t="shared" si="290"/>
        <v>3.2533788193656439E-2</v>
      </c>
      <c r="R470" s="483">
        <f t="shared" si="290"/>
        <v>3.3011854541669522E-2</v>
      </c>
      <c r="S470" s="483">
        <f t="shared" si="290"/>
        <v>3.17279616476513E-2</v>
      </c>
      <c r="T470" s="483">
        <f t="shared" si="290"/>
        <v>3.1685740947905862E-2</v>
      </c>
      <c r="U470" s="483">
        <f t="shared" si="290"/>
        <v>3.1752945433267989E-2</v>
      </c>
      <c r="V470" s="483"/>
    </row>
    <row r="471" spans="1:24" s="375" customFormat="1">
      <c r="A471" s="375" t="str">
        <f>A291</f>
        <v>Alternative 2</v>
      </c>
      <c r="C471" s="483">
        <f t="shared" ref="C471:U471" si="291">(C291-B291)/B291</f>
        <v>5.3605655030005778E-2</v>
      </c>
      <c r="D471" s="483">
        <f t="shared" si="291"/>
        <v>-4.09223164564387E-3</v>
      </c>
      <c r="E471" s="483">
        <f t="shared" si="291"/>
        <v>9.029436306177295E-2</v>
      </c>
      <c r="F471" s="483">
        <f t="shared" si="291"/>
        <v>-3.0395089756254923E-2</v>
      </c>
      <c r="G471" s="483">
        <f t="shared" si="291"/>
        <v>3.0457371766019203E-2</v>
      </c>
      <c r="H471" s="483">
        <f t="shared" si="291"/>
        <v>3.0873503559258438E-2</v>
      </c>
      <c r="I471" s="483">
        <f t="shared" si="291"/>
        <v>0.1170275001890812</v>
      </c>
      <c r="J471" s="483">
        <f t="shared" si="291"/>
        <v>-4.9413244491984927E-2</v>
      </c>
      <c r="K471" s="483">
        <f t="shared" si="291"/>
        <v>3.1300535833693355E-2</v>
      </c>
      <c r="L471" s="483">
        <f t="shared" si="291"/>
        <v>3.1757683050889947E-2</v>
      </c>
      <c r="M471" s="483">
        <f t="shared" si="291"/>
        <v>3.1091381371268052E-2</v>
      </c>
      <c r="N471" s="483">
        <f t="shared" si="291"/>
        <v>3.0946316236612807E-2</v>
      </c>
      <c r="O471" s="483">
        <f t="shared" si="291"/>
        <v>3.1025219803047396E-2</v>
      </c>
      <c r="P471" s="483">
        <f t="shared" si="291"/>
        <v>3.3386104297879339E-2</v>
      </c>
      <c r="Q471" s="483">
        <f t="shared" si="291"/>
        <v>3.1880248258753997E-2</v>
      </c>
      <c r="R471" s="483">
        <f t="shared" si="291"/>
        <v>3.2358473134943083E-2</v>
      </c>
      <c r="S471" s="483">
        <f t="shared" si="291"/>
        <v>3.112343257837933E-2</v>
      </c>
      <c r="T471" s="483">
        <f t="shared" si="291"/>
        <v>3.1094378598543214E-2</v>
      </c>
      <c r="U471" s="483">
        <f t="shared" si="291"/>
        <v>3.1171585639084346E-2</v>
      </c>
      <c r="V471" s="483"/>
    </row>
    <row r="472" spans="1:24" s="375" customFormat="1">
      <c r="A472" s="375" t="str">
        <f>A293</f>
        <v>Alternative 3</v>
      </c>
      <c r="C472" s="483">
        <f t="shared" ref="C472:U472" si="292">(C293-B293)/B293</f>
        <v>4.568832184706003E-2</v>
      </c>
      <c r="D472" s="483">
        <f t="shared" si="292"/>
        <v>1.9996934519894066E-2</v>
      </c>
      <c r="E472" s="483">
        <f t="shared" si="292"/>
        <v>3.2016491161643942E-2</v>
      </c>
      <c r="F472" s="483">
        <f t="shared" si="292"/>
        <v>8.7937934847551066E-2</v>
      </c>
      <c r="G472" s="483">
        <f t="shared" si="292"/>
        <v>-3.0059642809784456E-2</v>
      </c>
      <c r="H472" s="483">
        <f t="shared" si="292"/>
        <v>0.11613145916321835</v>
      </c>
      <c r="I472" s="483">
        <f t="shared" si="292"/>
        <v>-4.8779690095031782E-2</v>
      </c>
      <c r="J472" s="483">
        <f t="shared" si="292"/>
        <v>3.0510710748331046E-2</v>
      </c>
      <c r="K472" s="483">
        <f t="shared" si="292"/>
        <v>3.1305169442498205E-2</v>
      </c>
      <c r="L472" s="483">
        <f t="shared" si="292"/>
        <v>3.0357650641770956E-2</v>
      </c>
      <c r="M472" s="483">
        <f t="shared" si="292"/>
        <v>3.0447240287995416E-2</v>
      </c>
      <c r="N472" s="483">
        <f t="shared" si="292"/>
        <v>3.0776834951577521E-2</v>
      </c>
      <c r="O472" s="483">
        <f t="shared" si="292"/>
        <v>3.0926192262451357E-2</v>
      </c>
      <c r="P472" s="483">
        <f t="shared" si="292"/>
        <v>3.3324307821315444E-2</v>
      </c>
      <c r="Q472" s="483">
        <f t="shared" si="292"/>
        <v>3.1771930141187683E-2</v>
      </c>
      <c r="R472" s="483">
        <f t="shared" si="292"/>
        <v>2.7791164308039903E-2</v>
      </c>
      <c r="S472" s="483">
        <f t="shared" si="292"/>
        <v>3.1096344509240766E-2</v>
      </c>
      <c r="T472" s="483">
        <f t="shared" si="292"/>
        <v>3.1094378598543214E-2</v>
      </c>
      <c r="U472" s="483">
        <f t="shared" si="292"/>
        <v>3.1171585639084346E-2</v>
      </c>
      <c r="V472" s="483"/>
    </row>
    <row r="473" spans="1:24" s="375" customFormat="1"/>
    <row r="474" spans="1:24" s="375" customFormat="1">
      <c r="B474" s="479">
        <f>Alternatives!B11</f>
        <v>2021</v>
      </c>
      <c r="C474" s="375">
        <f>B474+1</f>
        <v>2022</v>
      </c>
      <c r="D474" s="375">
        <f t="shared" ref="D474:U474" si="293">C474+1</f>
        <v>2023</v>
      </c>
      <c r="E474" s="375">
        <f t="shared" si="293"/>
        <v>2024</v>
      </c>
      <c r="F474" s="375">
        <f t="shared" si="293"/>
        <v>2025</v>
      </c>
      <c r="G474" s="375">
        <f t="shared" si="293"/>
        <v>2026</v>
      </c>
      <c r="H474" s="375">
        <f t="shared" si="293"/>
        <v>2027</v>
      </c>
      <c r="I474" s="375">
        <f t="shared" si="293"/>
        <v>2028</v>
      </c>
      <c r="J474" s="375">
        <f t="shared" si="293"/>
        <v>2029</v>
      </c>
      <c r="K474" s="375">
        <f t="shared" si="293"/>
        <v>2030</v>
      </c>
      <c r="L474" s="375">
        <f t="shared" si="293"/>
        <v>2031</v>
      </c>
      <c r="M474" s="375">
        <f t="shared" si="293"/>
        <v>2032</v>
      </c>
      <c r="N474" s="375">
        <f t="shared" si="293"/>
        <v>2033</v>
      </c>
      <c r="O474" s="375">
        <f t="shared" si="293"/>
        <v>2034</v>
      </c>
      <c r="P474" s="375">
        <f t="shared" si="293"/>
        <v>2035</v>
      </c>
      <c r="Q474" s="375">
        <f t="shared" si="293"/>
        <v>2036</v>
      </c>
      <c r="R474" s="375">
        <f t="shared" si="293"/>
        <v>2037</v>
      </c>
      <c r="S474" s="375">
        <f t="shared" si="293"/>
        <v>2038</v>
      </c>
      <c r="T474" s="375">
        <f t="shared" si="293"/>
        <v>2039</v>
      </c>
      <c r="U474" s="375">
        <f t="shared" si="293"/>
        <v>2040</v>
      </c>
    </row>
    <row r="475" spans="1:24" s="375" customFormat="1">
      <c r="A475" s="375" t="s">
        <v>642</v>
      </c>
      <c r="B475" s="375">
        <f>IF(B474&lt;2024,0,IF(AND(B474&gt;=2024,B474&lt;2030),'Building Info &amp; Assumptions'!$B$117,IF(AND(B474&gt;=2030,B474&lt;2035),'Building Info &amp; Assumptions'!$G$117,0)))</f>
        <v>0</v>
      </c>
      <c r="C475" s="375">
        <f>IF(C474&lt;2024,0,IF(AND(C474&gt;=2024,C474&lt;2030),'Building Info &amp; Assumptions'!$B$117,IF(AND(C474&gt;=2030,C474&lt;2035),'Building Info &amp; Assumptions'!$G$117,0)))</f>
        <v>0</v>
      </c>
      <c r="D475" s="375">
        <f>IF(D474&lt;2024,0,IF(AND(D474&gt;=2024,D474&lt;2030),'Building Info &amp; Assumptions'!$B$117,IF(AND(D474&gt;=2030,D474&lt;2035),'Building Info &amp; Assumptions'!$G$117,0)))</f>
        <v>0</v>
      </c>
      <c r="E475" s="375">
        <f>IF(E474&lt;2024,0,IF(AND(E474&gt;=2024,E474&lt;2030),'Building Info &amp; Assumptions'!$B$117,IF(AND(E474&gt;=2030,E474&lt;2035),'Building Info &amp; Assumptions'!$G$117,0)))</f>
        <v>13451</v>
      </c>
      <c r="F475" s="375">
        <f>IF(F474&lt;2024,0,IF(AND(F474&gt;=2024,F474&lt;2030),'Building Info &amp; Assumptions'!$B$117,IF(AND(F474&gt;=2030,F474&lt;2035),'Building Info &amp; Assumptions'!$G$117,0)))</f>
        <v>13451</v>
      </c>
      <c r="G475" s="375">
        <f>IF(G474&lt;2024,0,IF(AND(G474&gt;=2024,G474&lt;2030),'Building Info &amp; Assumptions'!$B$117,IF(AND(G474&gt;=2030,G474&lt;2035),'Building Info &amp; Assumptions'!$G$117,0)))</f>
        <v>13451</v>
      </c>
      <c r="H475" s="375">
        <f>IF(H474&lt;2024,0,IF(AND(H474&gt;=2024,H474&lt;2030),'Building Info &amp; Assumptions'!$B$117,IF(AND(H474&gt;=2030,H474&lt;2035),'Building Info &amp; Assumptions'!$G$117,0)))</f>
        <v>13451</v>
      </c>
      <c r="I475" s="375">
        <f>IF(I474&lt;2024,0,IF(AND(I474&gt;=2024,I474&lt;2030),'Building Info &amp; Assumptions'!$B$117,IF(AND(I474&gt;=2030,I474&lt;2035),'Building Info &amp; Assumptions'!$G$117,0)))</f>
        <v>13451</v>
      </c>
      <c r="J475" s="375">
        <f>IF(J474&lt;2024,0,IF(AND(J474&gt;=2024,J474&lt;2030),'Building Info &amp; Assumptions'!$B$117,IF(AND(J474&gt;=2030,J474&lt;2035),'Building Info &amp; Assumptions'!$G$117,0)))</f>
        <v>13451</v>
      </c>
      <c r="K475" s="375">
        <f>IF(K474&lt;2024,0,IF(AND(K474&gt;=2024,K474&lt;2030),'Building Info &amp; Assumptions'!$B$117,IF(AND(K474&gt;=2030,K474&lt;2035),'Building Info &amp; Assumptions'!$G$117,0)))</f>
        <v>6855</v>
      </c>
      <c r="L475" s="375">
        <f>IF(L474&lt;2024,0,IF(AND(L474&gt;=2024,L474&lt;2030),'Building Info &amp; Assumptions'!$B$117,IF(AND(L474&gt;=2030,L474&lt;2035),'Building Info &amp; Assumptions'!$G$117,0)))</f>
        <v>6855</v>
      </c>
      <c r="M475" s="375">
        <f>IF(M474&lt;2024,0,IF(AND(M474&gt;=2024,M474&lt;2030),'Building Info &amp; Assumptions'!$B$117,IF(AND(M474&gt;=2030,M474&lt;2035),'Building Info &amp; Assumptions'!$G$117,0)))</f>
        <v>6855</v>
      </c>
      <c r="N475" s="375">
        <f>IF(N474&lt;2024,0,IF(AND(N474&gt;=2024,N474&lt;2030),'Building Info &amp; Assumptions'!$B$117,IF(AND(N474&gt;=2030,N474&lt;2035),'Building Info &amp; Assumptions'!$G$117,0)))</f>
        <v>6855</v>
      </c>
      <c r="O475" s="375">
        <f>IF(O474&lt;2024,0,IF(AND(O474&gt;=2024,O474&lt;2030),'Building Info &amp; Assumptions'!$B$117,IF(AND(O474&gt;=2030,O474&lt;2035),'Building Info &amp; Assumptions'!$G$117,0)))</f>
        <v>6855</v>
      </c>
      <c r="P475" s="375">
        <f>IF(P474&lt;2024,0,IF(AND(P474&gt;=2024,P474&lt;2030),'Building Info &amp; Assumptions'!$B$117,IF(AND(P474&gt;=2030,P474&lt;2035),'Building Info &amp; Assumptions'!$G$117,0)))</f>
        <v>0</v>
      </c>
      <c r="Q475" s="375">
        <f>IF(Q474&lt;2024,0,IF(AND(Q474&gt;=2024,Q474&lt;2030),'Building Info &amp; Assumptions'!$B$117,IF(AND(Q474&gt;=2030,Q474&lt;2035),'Building Info &amp; Assumptions'!$G$117,0)))</f>
        <v>0</v>
      </c>
      <c r="R475" s="375">
        <f>IF(R474&lt;2024,0,IF(AND(R474&gt;=2024,R474&lt;2030),'Building Info &amp; Assumptions'!$B$117,IF(AND(R474&gt;=2030,R474&lt;2035),'Building Info &amp; Assumptions'!$G$117,0)))</f>
        <v>0</v>
      </c>
      <c r="S475" s="375">
        <f>IF(S474&lt;2024,0,IF(AND(S474&gt;=2024,S474&lt;2030),'Building Info &amp; Assumptions'!$B$117,IF(AND(S474&gt;=2030,S474&lt;2035),'Building Info &amp; Assumptions'!$G$117,0)))</f>
        <v>0</v>
      </c>
      <c r="T475" s="375">
        <f>IF(T474&lt;2024,0,IF(AND(T474&gt;=2024,T474&lt;2030),'Building Info &amp; Assumptions'!$B$117,IF(AND(T474&gt;=2030,T474&lt;2035),'Building Info &amp; Assumptions'!$G$117,0)))</f>
        <v>0</v>
      </c>
      <c r="U475" s="375">
        <f>IF(U474&lt;2024,0,IF(AND(U474&gt;=2024,U474&lt;2030),'Building Info &amp; Assumptions'!$B$117,IF(AND(U474&gt;=2030,U474&lt;2035),'Building Info &amp; Assumptions'!$G$117,0)))</f>
        <v>0</v>
      </c>
    </row>
    <row r="476" spans="1:24" s="375" customFormat="1"/>
    <row r="477" spans="1:24" s="375" customFormat="1"/>
    <row r="478" spans="1:24" s="375" customFormat="1">
      <c r="A478" s="375" t="s">
        <v>643</v>
      </c>
      <c r="B478" s="375">
        <f t="shared" ref="B478:U478" si="294">B474</f>
        <v>2021</v>
      </c>
      <c r="C478" s="375">
        <f t="shared" si="294"/>
        <v>2022</v>
      </c>
      <c r="D478" s="375">
        <f t="shared" si="294"/>
        <v>2023</v>
      </c>
      <c r="E478" s="375">
        <f t="shared" si="294"/>
        <v>2024</v>
      </c>
      <c r="F478" s="375">
        <f t="shared" si="294"/>
        <v>2025</v>
      </c>
      <c r="G478" s="375">
        <f t="shared" si="294"/>
        <v>2026</v>
      </c>
      <c r="H478" s="375">
        <f t="shared" si="294"/>
        <v>2027</v>
      </c>
      <c r="I478" s="375">
        <f t="shared" si="294"/>
        <v>2028</v>
      </c>
      <c r="J478" s="375">
        <f t="shared" si="294"/>
        <v>2029</v>
      </c>
      <c r="K478" s="375">
        <f t="shared" si="294"/>
        <v>2030</v>
      </c>
      <c r="L478" s="375">
        <f t="shared" si="294"/>
        <v>2031</v>
      </c>
      <c r="M478" s="375">
        <f t="shared" si="294"/>
        <v>2032</v>
      </c>
      <c r="N478" s="375">
        <f t="shared" si="294"/>
        <v>2033</v>
      </c>
      <c r="O478" s="375">
        <f t="shared" si="294"/>
        <v>2034</v>
      </c>
      <c r="P478" s="375">
        <f t="shared" si="294"/>
        <v>2035</v>
      </c>
      <c r="Q478" s="375">
        <f t="shared" si="294"/>
        <v>2036</v>
      </c>
      <c r="R478" s="375">
        <f t="shared" si="294"/>
        <v>2037</v>
      </c>
      <c r="S478" s="375">
        <f t="shared" si="294"/>
        <v>2038</v>
      </c>
      <c r="T478" s="375">
        <f t="shared" si="294"/>
        <v>2039</v>
      </c>
      <c r="U478" s="375">
        <f t="shared" si="294"/>
        <v>2040</v>
      </c>
      <c r="W478" s="375" t="s">
        <v>644</v>
      </c>
    </row>
    <row r="479" spans="1:24" s="375" customFormat="1">
      <c r="A479" s="375" t="str">
        <f>A268</f>
        <v>Baseline Reactive (Cap Op St+IR DM)</v>
      </c>
      <c r="B479" s="375" t="str">
        <f t="shared" ref="B479:U479" si="295">IF(B$478&gt;=2024,IF(HLOOKUP(B$474,$B$435:$V$441,2)&gt;B$475,"No","Yes"),"")</f>
        <v/>
      </c>
      <c r="C479" s="375" t="str">
        <f t="shared" si="295"/>
        <v/>
      </c>
      <c r="D479" s="375" t="str">
        <f t="shared" si="295"/>
        <v/>
      </c>
      <c r="E479" s="375" t="str">
        <f t="shared" ca="1" si="295"/>
        <v>No</v>
      </c>
      <c r="F479" s="375" t="str">
        <f t="shared" ca="1" si="295"/>
        <v>No</v>
      </c>
      <c r="G479" s="375" t="str">
        <f t="shared" ca="1" si="295"/>
        <v>No</v>
      </c>
      <c r="H479" s="375" t="str">
        <f t="shared" ca="1" si="295"/>
        <v>Yes</v>
      </c>
      <c r="I479" s="375" t="str">
        <f t="shared" ca="1" si="295"/>
        <v>Yes</v>
      </c>
      <c r="J479" s="375" t="str">
        <f t="shared" ca="1" si="295"/>
        <v>Yes</v>
      </c>
      <c r="K479" s="375" t="str">
        <f t="shared" ca="1" si="295"/>
        <v>No</v>
      </c>
      <c r="L479" s="375" t="str">
        <f t="shared" ca="1" si="295"/>
        <v>No</v>
      </c>
      <c r="M479" s="375" t="str">
        <f t="shared" ca="1" si="295"/>
        <v>No</v>
      </c>
      <c r="N479" s="375" t="str">
        <f t="shared" ca="1" si="295"/>
        <v>No</v>
      </c>
      <c r="O479" s="375" t="str">
        <f t="shared" ca="1" si="295"/>
        <v>No</v>
      </c>
      <c r="P479" s="375" t="str">
        <f t="shared" ca="1" si="295"/>
        <v>No</v>
      </c>
      <c r="Q479" s="375" t="str">
        <f t="shared" ca="1" si="295"/>
        <v>No</v>
      </c>
      <c r="R479" s="375" t="str">
        <f t="shared" ca="1" si="295"/>
        <v>No</v>
      </c>
      <c r="S479" s="375" t="str">
        <f t="shared" ca="1" si="295"/>
        <v>No</v>
      </c>
      <c r="T479" s="375" t="str">
        <f t="shared" ca="1" si="295"/>
        <v>No</v>
      </c>
      <c r="U479" s="375" t="str">
        <f t="shared" ca="1" si="295"/>
        <v>No</v>
      </c>
      <c r="W479" s="375">
        <f ca="1">_xlfn.IFNA(HLOOKUP("No",$B479:$U485,7,FALSE),"Never")</f>
        <v>2024</v>
      </c>
      <c r="X479" s="375" t="str">
        <f ca="1">_xlfn.IFNA(IF(W479&gt;2030,"No","Yes"),"No")</f>
        <v>Yes</v>
      </c>
    </row>
    <row r="480" spans="1:24" s="375" customFormat="1">
      <c r="A480" s="375" t="str">
        <f>A270</f>
        <v>Baseline - Reactive Fines</v>
      </c>
      <c r="B480" s="375" t="str">
        <f t="shared" ref="B480:U480" si="296">IF(B$478&gt;=2024,IF(HLOOKUP(B$474,$B$435:$V$441,3)&gt;B$475,"No","Yes"),"")</f>
        <v/>
      </c>
      <c r="C480" s="375" t="str">
        <f t="shared" si="296"/>
        <v/>
      </c>
      <c r="D480" s="375" t="str">
        <f t="shared" si="296"/>
        <v/>
      </c>
      <c r="E480" s="375" t="str">
        <f t="shared" ca="1" si="296"/>
        <v>No</v>
      </c>
      <c r="F480" s="375" t="str">
        <f t="shared" ca="1" si="296"/>
        <v>No</v>
      </c>
      <c r="G480" s="375" t="str">
        <f t="shared" ca="1" si="296"/>
        <v>No</v>
      </c>
      <c r="H480" s="375" t="str">
        <f t="shared" ca="1" si="296"/>
        <v>Yes</v>
      </c>
      <c r="I480" s="375" t="str">
        <f t="shared" ca="1" si="296"/>
        <v>Yes</v>
      </c>
      <c r="J480" s="375" t="str">
        <f t="shared" ca="1" si="296"/>
        <v>Yes</v>
      </c>
      <c r="K480" s="375" t="str">
        <f t="shared" ca="1" si="296"/>
        <v>No</v>
      </c>
      <c r="L480" s="375" t="str">
        <f t="shared" ca="1" si="296"/>
        <v>No</v>
      </c>
      <c r="M480" s="375" t="str">
        <f t="shared" ca="1" si="296"/>
        <v>No</v>
      </c>
      <c r="N480" s="375" t="str">
        <f t="shared" ca="1" si="296"/>
        <v>No</v>
      </c>
      <c r="O480" s="375" t="str">
        <f t="shared" ca="1" si="296"/>
        <v>No</v>
      </c>
      <c r="P480" s="375" t="str">
        <f t="shared" ca="1" si="296"/>
        <v>No</v>
      </c>
      <c r="Q480" s="375" t="str">
        <f t="shared" ca="1" si="296"/>
        <v>No</v>
      </c>
      <c r="R480" s="375" t="str">
        <f t="shared" ca="1" si="296"/>
        <v>No</v>
      </c>
      <c r="S480" s="375" t="str">
        <f t="shared" ca="1" si="296"/>
        <v>No</v>
      </c>
      <c r="T480" s="375" t="str">
        <f t="shared" ca="1" si="296"/>
        <v>No</v>
      </c>
      <c r="U480" s="375" t="str">
        <f t="shared" ca="1" si="296"/>
        <v>No</v>
      </c>
      <c r="W480" s="375">
        <f ca="1">_xlfn.IFNA(HLOOKUP("No",$B480:$U485,6,FALSE),"Never")</f>
        <v>2024</v>
      </c>
      <c r="X480" s="375" t="str">
        <f t="shared" ref="X480:X484" ca="1" si="297">_xlfn.IFNA(IF(W480&gt;2030,"No","Yes"),"No")</f>
        <v>Yes</v>
      </c>
    </row>
    <row r="481" spans="1:24" s="375" customFormat="1">
      <c r="A481" s="375" t="str">
        <f>A272</f>
        <v>Baseline - Offset Based Compliance</v>
      </c>
      <c r="B481" s="375" t="str">
        <f t="shared" ref="B481:U481" si="298">IF(B$478&gt;=2024,IF(HLOOKUP(B$474,$B$435:$V$441,4)&gt;B$475,"No","Yes"),"")</f>
        <v/>
      </c>
      <c r="C481" s="375" t="str">
        <f t="shared" si="298"/>
        <v/>
      </c>
      <c r="D481" s="375" t="str">
        <f t="shared" si="298"/>
        <v/>
      </c>
      <c r="E481" s="375" t="str">
        <f t="shared" ca="1" si="298"/>
        <v>Yes</v>
      </c>
      <c r="F481" s="375" t="str">
        <f t="shared" ca="1" si="298"/>
        <v>Yes</v>
      </c>
      <c r="G481" s="375" t="str">
        <f t="shared" ca="1" si="298"/>
        <v>Yes</v>
      </c>
      <c r="H481" s="375" t="str">
        <f t="shared" ca="1" si="298"/>
        <v>Yes</v>
      </c>
      <c r="I481" s="375" t="str">
        <f t="shared" ca="1" si="298"/>
        <v>Yes</v>
      </c>
      <c r="J481" s="375" t="str">
        <f t="shared" ca="1" si="298"/>
        <v>Yes</v>
      </c>
      <c r="K481" s="375" t="str">
        <f t="shared" ca="1" si="298"/>
        <v>Yes</v>
      </c>
      <c r="L481" s="375" t="str">
        <f t="shared" ca="1" si="298"/>
        <v>Yes</v>
      </c>
      <c r="M481" s="375" t="str">
        <f t="shared" ca="1" si="298"/>
        <v>Yes</v>
      </c>
      <c r="N481" s="375" t="str">
        <f t="shared" ca="1" si="298"/>
        <v>Yes</v>
      </c>
      <c r="O481" s="375" t="str">
        <f t="shared" ca="1" si="298"/>
        <v>Yes</v>
      </c>
      <c r="P481" s="375" t="str">
        <f t="shared" ca="1" si="298"/>
        <v>Yes</v>
      </c>
      <c r="Q481" s="375" t="str">
        <f t="shared" ca="1" si="298"/>
        <v>Yes</v>
      </c>
      <c r="R481" s="375" t="str">
        <f t="shared" ca="1" si="298"/>
        <v>Yes</v>
      </c>
      <c r="S481" s="375" t="str">
        <f t="shared" ca="1" si="298"/>
        <v>Yes</v>
      </c>
      <c r="T481" s="375" t="str">
        <f t="shared" ca="1" si="298"/>
        <v>Yes</v>
      </c>
      <c r="U481" s="375" t="str">
        <f t="shared" ca="1" si="298"/>
        <v>Yes</v>
      </c>
      <c r="W481" s="513" t="str">
        <f ca="1">_xlfn.IFNA(HLOOKUP("No",$B481:$U485,5,FALSE),"Never")</f>
        <v>Never</v>
      </c>
      <c r="X481" s="375" t="str">
        <f t="shared" ca="1" si="297"/>
        <v>No</v>
      </c>
    </row>
    <row r="482" spans="1:24" s="375" customFormat="1">
      <c r="A482" s="375" t="str">
        <f>A274</f>
        <v>Alternative 1</v>
      </c>
      <c r="B482" s="375" t="str">
        <f t="shared" ref="B482:U482" si="299">IF(B$478&gt;=2024,IF(HLOOKUP(B$474,$B$435:$V$441,5)&gt;B$475,"No","Yes"),"")</f>
        <v/>
      </c>
      <c r="C482" s="375" t="str">
        <f t="shared" si="299"/>
        <v/>
      </c>
      <c r="D482" s="375" t="str">
        <f t="shared" si="299"/>
        <v/>
      </c>
      <c r="E482" s="375" t="str">
        <f t="shared" si="299"/>
        <v>Yes</v>
      </c>
      <c r="F482" s="375" t="str">
        <f t="shared" si="299"/>
        <v>Yes</v>
      </c>
      <c r="G482" s="375" t="str">
        <f t="shared" si="299"/>
        <v>Yes</v>
      </c>
      <c r="H482" s="375" t="str">
        <f t="shared" si="299"/>
        <v>Yes</v>
      </c>
      <c r="I482" s="375" t="str">
        <f t="shared" si="299"/>
        <v>Yes</v>
      </c>
      <c r="J482" s="375" t="str">
        <f t="shared" si="299"/>
        <v>Yes</v>
      </c>
      <c r="K482" s="375" t="str">
        <f t="shared" si="299"/>
        <v>Yes</v>
      </c>
      <c r="L482" s="375" t="str">
        <f t="shared" si="299"/>
        <v>Yes</v>
      </c>
      <c r="M482" s="375" t="str">
        <f t="shared" si="299"/>
        <v>Yes</v>
      </c>
      <c r="N482" s="375" t="str">
        <f t="shared" si="299"/>
        <v>Yes</v>
      </c>
      <c r="O482" s="375" t="str">
        <f t="shared" si="299"/>
        <v>Yes</v>
      </c>
      <c r="P482" s="375" t="str">
        <f t="shared" si="299"/>
        <v>Yes</v>
      </c>
      <c r="Q482" s="375" t="str">
        <f t="shared" si="299"/>
        <v>Yes</v>
      </c>
      <c r="R482" s="375" t="str">
        <f t="shared" si="299"/>
        <v>Yes</v>
      </c>
      <c r="S482" s="375" t="str">
        <f t="shared" si="299"/>
        <v>Yes</v>
      </c>
      <c r="T482" s="375" t="str">
        <f t="shared" si="299"/>
        <v>Yes</v>
      </c>
      <c r="U482" s="375" t="str">
        <f t="shared" si="299"/>
        <v>Yes</v>
      </c>
      <c r="W482" s="375" t="str">
        <f>_xlfn.IFNA(HLOOKUP("No",$B482:$U485,4,FALSE),"Never")</f>
        <v>Never</v>
      </c>
      <c r="X482" s="375" t="str">
        <f t="shared" si="297"/>
        <v>No</v>
      </c>
    </row>
    <row r="483" spans="1:24" s="375" customFormat="1">
      <c r="A483" s="375" t="str">
        <f>A276</f>
        <v>Alternative 2</v>
      </c>
      <c r="B483" s="375" t="str">
        <f t="shared" ref="B483:U483" si="300">IF(B$478&gt;=2024,IF(HLOOKUP(B$474,$B$435:$V$441,6)&gt;B$475,"No","Yes"),"")</f>
        <v/>
      </c>
      <c r="C483" s="375" t="str">
        <f t="shared" si="300"/>
        <v/>
      </c>
      <c r="D483" s="375" t="str">
        <f t="shared" si="300"/>
        <v/>
      </c>
      <c r="E483" s="375" t="str">
        <f t="shared" si="300"/>
        <v>Yes</v>
      </c>
      <c r="F483" s="375" t="str">
        <f t="shared" si="300"/>
        <v>Yes</v>
      </c>
      <c r="G483" s="375" t="str">
        <f t="shared" si="300"/>
        <v>Yes</v>
      </c>
      <c r="H483" s="375" t="str">
        <f t="shared" si="300"/>
        <v>Yes</v>
      </c>
      <c r="I483" s="375" t="str">
        <f t="shared" si="300"/>
        <v>Yes</v>
      </c>
      <c r="J483" s="375" t="str">
        <f t="shared" si="300"/>
        <v>Yes</v>
      </c>
      <c r="K483" s="375" t="str">
        <f t="shared" si="300"/>
        <v>Yes</v>
      </c>
      <c r="L483" s="375" t="str">
        <f t="shared" si="300"/>
        <v>Yes</v>
      </c>
      <c r="M483" s="375" t="str">
        <f t="shared" si="300"/>
        <v>Yes</v>
      </c>
      <c r="N483" s="375" t="str">
        <f t="shared" si="300"/>
        <v>Yes</v>
      </c>
      <c r="O483" s="375" t="str">
        <f t="shared" si="300"/>
        <v>Yes</v>
      </c>
      <c r="P483" s="375" t="str">
        <f t="shared" si="300"/>
        <v>Yes</v>
      </c>
      <c r="Q483" s="375" t="str">
        <f t="shared" si="300"/>
        <v>Yes</v>
      </c>
      <c r="R483" s="375" t="str">
        <f t="shared" si="300"/>
        <v>Yes</v>
      </c>
      <c r="S483" s="375" t="str">
        <f t="shared" si="300"/>
        <v>Yes</v>
      </c>
      <c r="T483" s="375" t="str">
        <f t="shared" si="300"/>
        <v>Yes</v>
      </c>
      <c r="U483" s="375" t="str">
        <f t="shared" si="300"/>
        <v>Yes</v>
      </c>
      <c r="W483" s="513" t="str">
        <f>_xlfn.IFNA(HLOOKUP("No",$B483:$U485,3,FALSE),"Never")</f>
        <v>Never</v>
      </c>
      <c r="X483" s="375" t="str">
        <f t="shared" si="297"/>
        <v>No</v>
      </c>
    </row>
    <row r="484" spans="1:24" s="375" customFormat="1">
      <c r="A484" s="375" t="str">
        <f>A278</f>
        <v>Alternative 3</v>
      </c>
      <c r="B484" s="375" t="str">
        <f t="shared" ref="B484:U484" si="301">IF(B$478&gt;=2024,IF(HLOOKUP(B$474,$B$435:$V$441,7)&gt;B$475,"No","Yes"),"")</f>
        <v/>
      </c>
      <c r="C484" s="375" t="str">
        <f t="shared" si="301"/>
        <v/>
      </c>
      <c r="D484" s="375" t="str">
        <f t="shared" si="301"/>
        <v/>
      </c>
      <c r="E484" s="375" t="str">
        <f t="shared" si="301"/>
        <v>Yes</v>
      </c>
      <c r="F484" s="375" t="str">
        <f t="shared" si="301"/>
        <v>Yes</v>
      </c>
      <c r="G484" s="375" t="str">
        <f t="shared" si="301"/>
        <v>Yes</v>
      </c>
      <c r="H484" s="375" t="str">
        <f t="shared" si="301"/>
        <v>Yes</v>
      </c>
      <c r="I484" s="375" t="str">
        <f t="shared" si="301"/>
        <v>Yes</v>
      </c>
      <c r="J484" s="375" t="str">
        <f t="shared" si="301"/>
        <v>Yes</v>
      </c>
      <c r="K484" s="375" t="str">
        <f t="shared" si="301"/>
        <v>Yes</v>
      </c>
      <c r="L484" s="375" t="str">
        <f t="shared" si="301"/>
        <v>Yes</v>
      </c>
      <c r="M484" s="375" t="str">
        <f t="shared" si="301"/>
        <v>Yes</v>
      </c>
      <c r="N484" s="375" t="str">
        <f t="shared" si="301"/>
        <v>Yes</v>
      </c>
      <c r="O484" s="375" t="str">
        <f t="shared" si="301"/>
        <v>Yes</v>
      </c>
      <c r="P484" s="375" t="str">
        <f t="shared" si="301"/>
        <v>Yes</v>
      </c>
      <c r="Q484" s="375" t="str">
        <f t="shared" si="301"/>
        <v>Yes</v>
      </c>
      <c r="R484" s="375" t="str">
        <f t="shared" si="301"/>
        <v>Yes</v>
      </c>
      <c r="S484" s="375" t="str">
        <f t="shared" si="301"/>
        <v>Yes</v>
      </c>
      <c r="T484" s="375" t="str">
        <f t="shared" si="301"/>
        <v>Yes</v>
      </c>
      <c r="U484" s="375" t="str">
        <f t="shared" si="301"/>
        <v>Yes</v>
      </c>
      <c r="W484" s="513" t="str">
        <f>_xlfn.IFNA(HLOOKUP("No",$B484:$U485,2,FALSE),"Never")</f>
        <v>Never</v>
      </c>
      <c r="X484" s="375" t="str">
        <f t="shared" si="297"/>
        <v>No</v>
      </c>
    </row>
    <row r="485" spans="1:24" s="375" customFormat="1">
      <c r="B485" s="375">
        <f t="shared" ref="B485:T485" si="302">B478</f>
        <v>2021</v>
      </c>
      <c r="C485" s="375">
        <f t="shared" si="302"/>
        <v>2022</v>
      </c>
      <c r="D485" s="375">
        <f t="shared" si="302"/>
        <v>2023</v>
      </c>
      <c r="E485" s="375">
        <f t="shared" si="302"/>
        <v>2024</v>
      </c>
      <c r="F485" s="375">
        <f t="shared" si="302"/>
        <v>2025</v>
      </c>
      <c r="G485" s="375">
        <f t="shared" si="302"/>
        <v>2026</v>
      </c>
      <c r="H485" s="375">
        <f t="shared" si="302"/>
        <v>2027</v>
      </c>
      <c r="I485" s="375">
        <f t="shared" si="302"/>
        <v>2028</v>
      </c>
      <c r="J485" s="375">
        <f t="shared" si="302"/>
        <v>2029</v>
      </c>
      <c r="K485" s="375">
        <f t="shared" si="302"/>
        <v>2030</v>
      </c>
      <c r="L485" s="375">
        <f t="shared" si="302"/>
        <v>2031</v>
      </c>
      <c r="M485" s="375">
        <f t="shared" si="302"/>
        <v>2032</v>
      </c>
      <c r="N485" s="375">
        <f t="shared" si="302"/>
        <v>2033</v>
      </c>
      <c r="O485" s="375">
        <f t="shared" si="302"/>
        <v>2034</v>
      </c>
      <c r="P485" s="375">
        <f t="shared" si="302"/>
        <v>2035</v>
      </c>
      <c r="Q485" s="375">
        <f t="shared" si="302"/>
        <v>2036</v>
      </c>
      <c r="R485" s="375">
        <f t="shared" si="302"/>
        <v>2037</v>
      </c>
      <c r="S485" s="375">
        <f t="shared" si="302"/>
        <v>2038</v>
      </c>
      <c r="T485" s="375">
        <f t="shared" si="302"/>
        <v>2039</v>
      </c>
      <c r="U485" s="375">
        <f>U478</f>
        <v>2040</v>
      </c>
    </row>
    <row r="486" spans="1:24" s="375" customFormat="1"/>
    <row r="487" spans="1:24" s="375" customFormat="1"/>
    <row r="488" spans="1:24" s="375" customFormat="1"/>
    <row r="489" spans="1:24" s="375" customFormat="1"/>
    <row r="490" spans="1:24" s="375" customFormat="1"/>
    <row r="491" spans="1:24" s="375" customFormat="1"/>
    <row r="492" spans="1:24" s="375" customFormat="1"/>
    <row r="493" spans="1:24" s="375" customFormat="1"/>
    <row r="494" spans="1:24" s="375" customFormat="1"/>
    <row r="495" spans="1:24" s="375" customFormat="1"/>
    <row r="496" spans="1:24" s="375" customFormat="1"/>
    <row r="497" s="375" customFormat="1"/>
    <row r="498" s="375" customFormat="1"/>
    <row r="499" s="375" customFormat="1"/>
    <row r="500" s="375" customFormat="1"/>
    <row r="501" s="375" customFormat="1"/>
    <row r="502" s="375" customFormat="1"/>
    <row r="503" s="375" customFormat="1"/>
    <row r="504" s="375" customFormat="1"/>
    <row r="505" s="375" customFormat="1"/>
    <row r="506" s="375" customFormat="1"/>
    <row r="507" s="375" customFormat="1"/>
    <row r="508" s="375" customFormat="1"/>
    <row r="509" s="375" customFormat="1"/>
    <row r="510" s="375" customFormat="1"/>
    <row r="511" s="375" customFormat="1"/>
    <row r="512" s="375" customFormat="1"/>
    <row r="513" s="375" customFormat="1"/>
    <row r="514" s="375" customFormat="1"/>
    <row r="515" s="375" customFormat="1"/>
    <row r="516" s="375" customFormat="1"/>
    <row r="517" s="375" customFormat="1"/>
    <row r="518" s="375" customFormat="1"/>
    <row r="519" s="375" customFormat="1"/>
    <row r="520" s="375" customFormat="1"/>
    <row r="521" s="375" customFormat="1"/>
    <row r="522" s="375" customFormat="1"/>
    <row r="523" s="375" customFormat="1"/>
    <row r="524" s="375" customFormat="1"/>
    <row r="525" s="375" customFormat="1"/>
    <row r="526" s="375" customFormat="1"/>
    <row r="527" s="375" customFormat="1"/>
    <row r="528" s="375" customFormat="1"/>
    <row r="529" s="375" customFormat="1"/>
    <row r="530" s="375" customFormat="1"/>
    <row r="531" s="375" customFormat="1"/>
    <row r="532" s="375" customFormat="1"/>
    <row r="533" s="375" customFormat="1"/>
    <row r="534" s="375" customFormat="1"/>
    <row r="535" s="375" customFormat="1"/>
    <row r="536" s="375" customFormat="1"/>
    <row r="537" s="375" customFormat="1"/>
    <row r="538" s="375" customFormat="1"/>
    <row r="539" s="375" customFormat="1"/>
    <row r="540" s="375" customFormat="1"/>
    <row r="541" s="375" customFormat="1"/>
    <row r="542" s="375" customFormat="1"/>
    <row r="543" s="375" customFormat="1"/>
    <row r="544" s="375" customFormat="1"/>
    <row r="545" s="375" customFormat="1"/>
    <row r="546" s="375" customFormat="1"/>
    <row r="547" s="375" customFormat="1"/>
    <row r="548" s="375" customFormat="1"/>
    <row r="549" s="375" customFormat="1"/>
    <row r="550" s="375" customFormat="1"/>
    <row r="551" s="375" customFormat="1"/>
    <row r="552" s="375" customFormat="1"/>
    <row r="553" s="375" customFormat="1"/>
    <row r="554" s="375" customFormat="1"/>
    <row r="555" s="375" customFormat="1"/>
    <row r="556" s="375" customFormat="1"/>
    <row r="557" s="375" customFormat="1"/>
    <row r="558" s="375" customFormat="1"/>
    <row r="559" s="375" customFormat="1"/>
    <row r="560" s="375" customFormat="1"/>
    <row r="561" s="375" customFormat="1"/>
    <row r="562" s="375" customFormat="1"/>
    <row r="563" s="375" customFormat="1"/>
    <row r="564" s="375" customFormat="1"/>
    <row r="565" s="375" customFormat="1"/>
    <row r="566" s="375" customFormat="1"/>
    <row r="567" s="375" customFormat="1"/>
    <row r="568" s="375" customFormat="1"/>
    <row r="569" s="375" customFormat="1"/>
    <row r="570" s="375" customFormat="1"/>
    <row r="571" s="375" customFormat="1"/>
    <row r="572" s="375" customFormat="1"/>
    <row r="573" s="375" customFormat="1"/>
    <row r="574" s="375" customFormat="1"/>
    <row r="575" s="375" customFormat="1"/>
    <row r="576" s="375" customFormat="1"/>
    <row r="577" s="375" customFormat="1"/>
    <row r="578" s="375" customFormat="1"/>
    <row r="579" s="375" customFormat="1"/>
    <row r="580" s="375" customFormat="1"/>
    <row r="581" s="375" customFormat="1"/>
    <row r="582" s="375" customFormat="1"/>
    <row r="583" s="375" customFormat="1"/>
    <row r="584" s="375" customFormat="1"/>
    <row r="585" s="375" customFormat="1"/>
    <row r="586" s="375" customFormat="1"/>
    <row r="587" s="375" customFormat="1"/>
    <row r="588" s="375" customFormat="1"/>
    <row r="589" s="375" customFormat="1"/>
    <row r="590" s="375" customFormat="1"/>
    <row r="591" s="375" customFormat="1"/>
    <row r="592" s="375" customFormat="1"/>
    <row r="593" s="375" customFormat="1"/>
    <row r="594" s="111" customFormat="1"/>
    <row r="595" s="111" customFormat="1"/>
    <row r="596" s="111" customFormat="1"/>
    <row r="597" s="111" customFormat="1"/>
    <row r="598" s="111" customFormat="1"/>
    <row r="599" s="111" customFormat="1"/>
    <row r="600" s="111" customFormat="1"/>
    <row r="601" s="111" customFormat="1"/>
    <row r="602" s="111" customFormat="1"/>
    <row r="603" s="111" customFormat="1"/>
    <row r="604" s="111" customFormat="1"/>
    <row r="605" s="111" customFormat="1"/>
    <row r="606" s="111" customFormat="1"/>
    <row r="607" s="111" customFormat="1"/>
    <row r="608" s="111" customFormat="1"/>
    <row r="609" s="111" customFormat="1"/>
    <row r="610" s="111" customFormat="1"/>
    <row r="611" s="111" customFormat="1"/>
    <row r="612" s="111" customFormat="1"/>
    <row r="613" s="111" customFormat="1"/>
    <row r="614" s="111" customFormat="1"/>
    <row r="615" s="111" customFormat="1"/>
    <row r="616" s="111" customFormat="1"/>
    <row r="617" s="111" customFormat="1"/>
    <row r="618" s="111" customFormat="1"/>
    <row r="619" s="111" customFormat="1"/>
    <row r="620" s="111" customFormat="1"/>
    <row r="621" s="111" customFormat="1"/>
    <row r="622" s="45" customFormat="1"/>
    <row r="623" s="45" customFormat="1"/>
    <row r="624" s="45" customFormat="1"/>
    <row r="625" s="45" customFormat="1"/>
  </sheetData>
  <mergeCells count="1">
    <mergeCell ref="A4:V4"/>
  </mergeCells>
  <phoneticPr fontId="69" type="noConversion"/>
  <pageMargins left="0.7" right="0.7" top="0.75" bottom="0.75" header="0.3" footer="0.3"/>
  <pageSetup orientation="portrait" r:id="rId1"/>
  <ignoredErrors>
    <ignoredError sqref="B421:V423" evalError="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2:AL146"/>
  <sheetViews>
    <sheetView zoomScale="85" zoomScaleNormal="85" workbookViewId="0">
      <selection activeCell="B15" sqref="B15:B18"/>
    </sheetView>
  </sheetViews>
  <sheetFormatPr defaultColWidth="9.140625" defaultRowHeight="15"/>
  <cols>
    <col min="1" max="1" width="35.28515625" style="103" customWidth="1"/>
    <col min="2" max="2" width="11" style="103" customWidth="1"/>
    <col min="3" max="3" width="9.85546875" style="103" customWidth="1"/>
    <col min="4" max="4" width="9.140625" style="103"/>
    <col min="5" max="5" width="30.7109375" style="103" customWidth="1"/>
    <col min="6" max="6" width="22.42578125" style="103" customWidth="1"/>
    <col min="7" max="7" width="18" style="103" customWidth="1"/>
    <col min="8" max="8" width="9.140625" style="103"/>
    <col min="9" max="9" width="50.7109375" style="103" customWidth="1"/>
    <col min="10" max="10" width="9.85546875" style="103" bestFit="1" customWidth="1"/>
    <col min="11" max="11" width="33.7109375" style="103" customWidth="1"/>
    <col min="12" max="12" width="10.28515625" style="103" customWidth="1"/>
    <col min="13" max="13" width="10.7109375" style="103" customWidth="1"/>
    <col min="14" max="14" width="8.42578125" style="103" customWidth="1"/>
    <col min="15" max="15" width="9.28515625" style="103" customWidth="1"/>
    <col min="16" max="16" width="17.28515625" style="103" customWidth="1"/>
    <col min="17" max="17" width="9.140625" style="103" customWidth="1"/>
    <col min="18" max="18" width="9.28515625" style="103" customWidth="1"/>
    <col min="19" max="23" width="6.42578125" style="103" customWidth="1"/>
    <col min="24" max="24" width="11.42578125" style="103" customWidth="1"/>
    <col min="25" max="37" width="6.42578125" style="103" customWidth="1"/>
    <col min="38" max="16383" width="9.140625" style="103"/>
    <col min="16384" max="16384" width="9.140625" style="103" bestFit="1"/>
  </cols>
  <sheetData>
    <row r="2" spans="1:25" s="478" customFormat="1" ht="24">
      <c r="B2" s="596" t="s">
        <v>645</v>
      </c>
      <c r="C2" s="596"/>
      <c r="D2" s="596"/>
      <c r="E2" s="596"/>
      <c r="F2" s="596"/>
      <c r="G2" s="596"/>
      <c r="H2" s="596"/>
      <c r="I2" s="596"/>
      <c r="J2" s="596"/>
      <c r="K2" s="596"/>
      <c r="L2" s="596"/>
      <c r="M2" s="596"/>
    </row>
    <row r="3" spans="1:25">
      <c r="A3" s="35"/>
      <c r="B3" s="35" t="s">
        <v>646</v>
      </c>
      <c r="C3" s="103" t="s">
        <v>647</v>
      </c>
      <c r="D3" s="35" t="s">
        <v>648</v>
      </c>
      <c r="E3" s="35" t="s">
        <v>649</v>
      </c>
      <c r="F3" s="35" t="s">
        <v>650</v>
      </c>
    </row>
    <row r="4" spans="1:25">
      <c r="A4" s="259" t="s">
        <v>153</v>
      </c>
      <c r="B4" s="1170">
        <v>0.85</v>
      </c>
      <c r="C4" s="1171">
        <v>0.85</v>
      </c>
      <c r="E4" s="414" t="s">
        <v>651</v>
      </c>
      <c r="F4" s="414" t="s">
        <v>651</v>
      </c>
      <c r="K4" s="35" t="s">
        <v>652</v>
      </c>
      <c r="R4" s="236"/>
      <c r="S4" s="31"/>
      <c r="T4" s="31"/>
      <c r="U4" s="31"/>
      <c r="V4" s="31"/>
      <c r="W4" s="31"/>
      <c r="X4" s="31"/>
      <c r="Y4" s="31"/>
    </row>
    <row r="5" spans="1:25">
      <c r="A5" s="259" t="s">
        <v>154</v>
      </c>
      <c r="B5" s="1172">
        <f>M9</f>
        <v>9112</v>
      </c>
      <c r="C5" s="1173" t="s">
        <v>231</v>
      </c>
      <c r="E5" s="103" t="s">
        <v>653</v>
      </c>
      <c r="P5" s="31"/>
      <c r="Q5" s="31"/>
      <c r="R5" s="34"/>
      <c r="U5" s="31"/>
      <c r="V5" s="31"/>
      <c r="W5" s="31"/>
      <c r="X5" s="31"/>
      <c r="Y5" s="31"/>
    </row>
    <row r="6" spans="1:25">
      <c r="A6" s="259" t="s">
        <v>654</v>
      </c>
      <c r="B6" s="1172">
        <f>M10</f>
        <v>288</v>
      </c>
      <c r="C6" s="1173" t="s">
        <v>231</v>
      </c>
      <c r="E6" s="103" t="s">
        <v>653</v>
      </c>
      <c r="K6" s="35" t="s">
        <v>655</v>
      </c>
      <c r="L6" s="35" t="s">
        <v>656</v>
      </c>
      <c r="M6" s="202" t="s">
        <v>656</v>
      </c>
      <c r="T6" s="34"/>
      <c r="U6" s="31"/>
      <c r="V6" s="31"/>
      <c r="W6" s="31"/>
      <c r="X6" s="31"/>
      <c r="Y6" s="31"/>
    </row>
    <row r="7" spans="1:25">
      <c r="A7" s="259" t="s">
        <v>657</v>
      </c>
      <c r="B7" s="1172">
        <v>100000</v>
      </c>
      <c r="C7" s="1173" t="s">
        <v>231</v>
      </c>
      <c r="E7" s="414" t="s">
        <v>658</v>
      </c>
      <c r="K7" s="282"/>
      <c r="L7" s="110">
        <v>2016</v>
      </c>
      <c r="M7" s="110">
        <v>2018</v>
      </c>
      <c r="N7" s="110"/>
      <c r="O7" s="110"/>
      <c r="R7" s="415"/>
      <c r="S7" s="419"/>
      <c r="T7" s="278"/>
      <c r="U7" s="31"/>
      <c r="V7" s="31"/>
      <c r="W7" s="31"/>
      <c r="X7" s="31"/>
      <c r="Y7" s="31"/>
    </row>
    <row r="8" spans="1:25">
      <c r="A8" s="258" t="s">
        <v>157</v>
      </c>
      <c r="B8" s="1174">
        <f>AVERAGE(R32:R36)</f>
        <v>8.9649999999999994E-2</v>
      </c>
      <c r="C8" s="1175">
        <f>M53</f>
        <v>0.04</v>
      </c>
      <c r="E8" s="111" t="s">
        <v>659</v>
      </c>
      <c r="F8" s="106" t="s">
        <v>659</v>
      </c>
      <c r="K8" s="282" t="s">
        <v>660</v>
      </c>
      <c r="L8" s="120">
        <v>0.89880000000000004</v>
      </c>
      <c r="M8" s="416">
        <v>0.87609999999999999</v>
      </c>
      <c r="N8" s="416"/>
      <c r="O8" s="416"/>
      <c r="R8" s="415"/>
      <c r="S8" s="419"/>
      <c r="T8" s="278"/>
      <c r="U8" s="31"/>
      <c r="V8" s="283"/>
      <c r="W8" s="31"/>
      <c r="X8" s="31"/>
      <c r="Y8" s="31"/>
    </row>
    <row r="9" spans="1:25">
      <c r="A9" s="257" t="s">
        <v>661</v>
      </c>
      <c r="B9" s="1176">
        <v>3.5000000000000003E-2</v>
      </c>
      <c r="C9" s="1175">
        <v>3.5000000000000003E-2</v>
      </c>
      <c r="E9" s="413" t="s">
        <v>658</v>
      </c>
      <c r="F9" s="413" t="s">
        <v>658</v>
      </c>
      <c r="H9" s="284"/>
      <c r="K9" s="282" t="s">
        <v>662</v>
      </c>
      <c r="L9" s="201">
        <v>7746.08</v>
      </c>
      <c r="M9" s="110">
        <v>9112</v>
      </c>
      <c r="N9" s="110"/>
      <c r="O9" s="110"/>
      <c r="R9" s="415"/>
      <c r="T9" s="278"/>
      <c r="U9" s="31"/>
      <c r="V9" s="283"/>
      <c r="W9" s="31"/>
      <c r="X9" s="31"/>
      <c r="Y9" s="31"/>
    </row>
    <row r="10" spans="1:25">
      <c r="A10" s="257" t="s">
        <v>663</v>
      </c>
      <c r="B10" s="1176">
        <v>3.5000000000000003E-2</v>
      </c>
      <c r="C10" s="1175">
        <v>3.5000000000000003E-2</v>
      </c>
      <c r="E10" s="413" t="s">
        <v>658</v>
      </c>
      <c r="F10" s="413" t="s">
        <v>658</v>
      </c>
      <c r="H10" s="284"/>
      <c r="K10" s="282" t="s">
        <v>664</v>
      </c>
      <c r="L10" s="218">
        <v>309.74</v>
      </c>
      <c r="M10" s="110">
        <v>288</v>
      </c>
      <c r="N10" s="110"/>
      <c r="O10" s="110"/>
      <c r="R10" s="110"/>
      <c r="T10" s="34"/>
      <c r="U10" s="31"/>
      <c r="V10" s="285"/>
      <c r="W10" s="31"/>
      <c r="X10" s="31"/>
      <c r="Y10" s="31"/>
    </row>
    <row r="11" spans="1:25">
      <c r="A11" s="257" t="s">
        <v>665</v>
      </c>
      <c r="B11" s="1176">
        <v>0.02</v>
      </c>
      <c r="C11" s="1175">
        <v>0.02</v>
      </c>
      <c r="E11" s="413" t="s">
        <v>658</v>
      </c>
      <c r="F11" s="413" t="s">
        <v>658</v>
      </c>
      <c r="M11" s="110"/>
      <c r="N11" s="110"/>
      <c r="O11" s="110"/>
      <c r="V11" s="285"/>
      <c r="W11" s="31"/>
      <c r="X11" s="31"/>
      <c r="Y11" s="31"/>
    </row>
    <row r="12" spans="1:25">
      <c r="A12" s="257" t="s">
        <v>666</v>
      </c>
      <c r="B12" s="1176">
        <v>2.5000000000000001E-2</v>
      </c>
      <c r="C12" s="1175">
        <v>2.5000000000000001E-2</v>
      </c>
      <c r="E12" s="413" t="s">
        <v>658</v>
      </c>
      <c r="F12" s="413" t="s">
        <v>658</v>
      </c>
      <c r="K12" s="35" t="s">
        <v>667</v>
      </c>
      <c r="L12" s="110">
        <v>2016</v>
      </c>
      <c r="M12" s="110">
        <v>2018</v>
      </c>
      <c r="N12" s="110"/>
      <c r="O12" s="110"/>
      <c r="R12" s="34"/>
      <c r="S12" s="31"/>
      <c r="T12" s="31"/>
      <c r="U12" s="31"/>
      <c r="V12" s="285"/>
      <c r="W12" s="31"/>
      <c r="X12" s="31"/>
      <c r="Y12" s="31"/>
    </row>
    <row r="13" spans="1:25">
      <c r="A13" s="289"/>
      <c r="B13" s="286"/>
      <c r="C13" s="286"/>
      <c r="D13" s="31"/>
      <c r="K13" s="282"/>
      <c r="L13" s="103" t="s">
        <v>159</v>
      </c>
      <c r="M13" s="110" t="s">
        <v>159</v>
      </c>
      <c r="N13" s="110"/>
      <c r="O13" s="110"/>
      <c r="P13" s="110"/>
      <c r="R13" s="418"/>
      <c r="S13" s="31"/>
      <c r="T13" s="278"/>
      <c r="U13" s="31"/>
      <c r="V13" s="286"/>
      <c r="W13" s="31"/>
      <c r="X13" s="31"/>
      <c r="Y13" s="31"/>
    </row>
    <row r="14" spans="1:25">
      <c r="A14" s="259" t="s">
        <v>158</v>
      </c>
      <c r="B14" s="1177">
        <f>AVERAGE(R25:R29)</f>
        <v>72.300388888888889</v>
      </c>
      <c r="C14" s="1178">
        <f>AVERAGE(M45:M47)</f>
        <v>4.496666666666667</v>
      </c>
      <c r="D14" s="103" t="s">
        <v>159</v>
      </c>
      <c r="E14" s="111" t="s">
        <v>659</v>
      </c>
      <c r="F14" s="106" t="s">
        <v>659</v>
      </c>
      <c r="K14" s="282" t="s">
        <v>668</v>
      </c>
      <c r="L14" s="284">
        <v>26.62</v>
      </c>
      <c r="M14" s="417">
        <v>30.35</v>
      </c>
      <c r="N14" s="417"/>
      <c r="O14" s="417"/>
      <c r="P14" s="110"/>
      <c r="R14" s="418"/>
      <c r="S14" s="31"/>
      <c r="T14" s="278"/>
      <c r="U14" s="31"/>
      <c r="V14" s="287"/>
      <c r="W14" s="31"/>
      <c r="X14" s="31"/>
      <c r="Y14" s="31"/>
    </row>
    <row r="15" spans="1:25">
      <c r="A15" s="259" t="s">
        <v>669</v>
      </c>
      <c r="B15" s="1177"/>
      <c r="C15" s="1179">
        <f>L51</f>
        <v>16.95</v>
      </c>
      <c r="D15" s="103" t="s">
        <v>159</v>
      </c>
      <c r="E15" s="111"/>
      <c r="F15" s="103" t="s">
        <v>670</v>
      </c>
      <c r="K15" s="282"/>
      <c r="L15" s="284"/>
      <c r="M15" s="417"/>
      <c r="N15" s="417"/>
      <c r="O15" s="417"/>
      <c r="P15" s="110"/>
      <c r="R15" s="418"/>
      <c r="S15" s="31"/>
      <c r="T15" s="278"/>
      <c r="U15" s="31"/>
      <c r="V15" s="287"/>
      <c r="W15" s="31"/>
      <c r="X15" s="31"/>
      <c r="Y15" s="31"/>
    </row>
    <row r="16" spans="1:25">
      <c r="A16" s="259" t="s">
        <v>671</v>
      </c>
      <c r="B16" s="1177"/>
      <c r="C16" s="1179">
        <f>-SUM(L54:L56)</f>
        <v>1.29</v>
      </c>
      <c r="D16" s="103" t="s">
        <v>159</v>
      </c>
      <c r="E16" s="111"/>
      <c r="F16" s="103" t="s">
        <v>670</v>
      </c>
      <c r="K16" s="282"/>
      <c r="L16" s="284"/>
      <c r="M16" s="417"/>
      <c r="N16" s="417"/>
      <c r="O16" s="417"/>
      <c r="P16" s="110"/>
      <c r="R16" s="418"/>
      <c r="S16" s="31"/>
      <c r="T16" s="278"/>
      <c r="U16" s="31"/>
      <c r="V16" s="287"/>
      <c r="W16" s="31"/>
      <c r="X16" s="31"/>
      <c r="Y16" s="31"/>
    </row>
    <row r="17" spans="1:27">
      <c r="A17" s="259" t="s">
        <v>672</v>
      </c>
      <c r="B17" s="1177"/>
      <c r="C17" s="1179">
        <f>L57</f>
        <v>0.98</v>
      </c>
      <c r="D17" s="103" t="s">
        <v>159</v>
      </c>
      <c r="E17" s="111"/>
      <c r="F17" s="103" t="s">
        <v>670</v>
      </c>
      <c r="K17" s="282"/>
      <c r="L17" s="284"/>
      <c r="M17" s="417"/>
      <c r="N17" s="417"/>
      <c r="O17" s="417"/>
      <c r="P17" s="110"/>
      <c r="R17" s="418"/>
      <c r="S17" s="31"/>
      <c r="T17" s="278"/>
      <c r="U17" s="31"/>
      <c r="V17" s="287"/>
      <c r="W17" s="31"/>
      <c r="X17" s="31"/>
      <c r="Y17" s="31"/>
    </row>
    <row r="18" spans="1:27">
      <c r="A18" s="259" t="s">
        <v>673</v>
      </c>
      <c r="B18" s="1177"/>
      <c r="C18" s="1179">
        <f>C15-C16+C17</f>
        <v>16.64</v>
      </c>
      <c r="D18" s="103" t="s">
        <v>159</v>
      </c>
      <c r="E18" s="111"/>
      <c r="F18" s="103" t="s">
        <v>670</v>
      </c>
      <c r="K18" s="282"/>
      <c r="L18" s="284"/>
      <c r="M18" s="417"/>
      <c r="N18" s="417"/>
      <c r="O18" s="417"/>
      <c r="P18" s="110"/>
      <c r="R18" s="418"/>
      <c r="S18" s="31"/>
      <c r="T18" s="278"/>
      <c r="U18" s="31"/>
      <c r="V18" s="287"/>
      <c r="W18" s="31"/>
      <c r="X18" s="31"/>
      <c r="Y18" s="31"/>
    </row>
    <row r="19" spans="1:27">
      <c r="A19" s="289"/>
      <c r="B19" s="666"/>
      <c r="C19" s="666"/>
      <c r="D19" s="31"/>
      <c r="E19" s="31"/>
      <c r="F19" s="31"/>
      <c r="G19" s="31"/>
      <c r="H19" s="221"/>
      <c r="I19" s="221"/>
      <c r="K19" s="282" t="s">
        <v>674</v>
      </c>
      <c r="L19" s="284">
        <v>28.21</v>
      </c>
      <c r="M19" s="417" t="s">
        <v>675</v>
      </c>
      <c r="N19" s="417"/>
      <c r="O19" s="417"/>
      <c r="P19" s="110"/>
      <c r="R19" s="418"/>
      <c r="S19" s="31"/>
      <c r="T19" s="278"/>
      <c r="U19" s="31"/>
      <c r="V19" s="287"/>
      <c r="W19" s="31"/>
      <c r="X19" s="31"/>
      <c r="Y19" s="31"/>
    </row>
    <row r="20" spans="1:27">
      <c r="A20" s="259" t="s">
        <v>160</v>
      </c>
      <c r="B20" s="1180">
        <v>3.46</v>
      </c>
      <c r="C20" s="1179">
        <v>0</v>
      </c>
      <c r="D20" s="103" t="s">
        <v>159</v>
      </c>
      <c r="E20" s="110" t="s">
        <v>676</v>
      </c>
      <c r="K20" s="282" t="s">
        <v>677</v>
      </c>
      <c r="L20" s="284">
        <v>21.98</v>
      </c>
      <c r="M20" s="417">
        <v>24.27</v>
      </c>
      <c r="N20" s="417"/>
      <c r="O20" s="417"/>
      <c r="P20" s="110"/>
      <c r="R20" s="418"/>
      <c r="S20" s="31"/>
      <c r="T20" s="278"/>
      <c r="U20" s="31"/>
      <c r="V20" s="287"/>
      <c r="W20" s="31"/>
      <c r="X20" s="31"/>
      <c r="Y20" s="31"/>
    </row>
    <row r="21" spans="1:27">
      <c r="A21" s="259" t="s">
        <v>161</v>
      </c>
      <c r="B21" s="1180">
        <v>3.52</v>
      </c>
      <c r="C21" s="1179">
        <f>M59</f>
        <v>2.4110854503464205</v>
      </c>
      <c r="D21" s="103" t="s">
        <v>159</v>
      </c>
      <c r="E21" s="110" t="s">
        <v>676</v>
      </c>
      <c r="F21" s="106" t="s">
        <v>670</v>
      </c>
      <c r="K21" s="282" t="s">
        <v>678</v>
      </c>
      <c r="L21" s="284">
        <v>4.7300000000000004</v>
      </c>
      <c r="M21" s="417">
        <v>4.8099999999999996</v>
      </c>
      <c r="N21" s="417"/>
      <c r="O21" s="417"/>
      <c r="P21" s="110"/>
      <c r="V21" s="287"/>
      <c r="W21" s="31"/>
      <c r="X21" s="31"/>
      <c r="Y21" s="31"/>
    </row>
    <row r="22" spans="1:27">
      <c r="A22" s="259" t="s">
        <v>162</v>
      </c>
      <c r="B22" s="1180">
        <v>3.34</v>
      </c>
      <c r="C22" s="1179">
        <f>M60</f>
        <v>2.2863741339491916</v>
      </c>
      <c r="D22" s="103" t="s">
        <v>159</v>
      </c>
      <c r="E22" s="110" t="s">
        <v>676</v>
      </c>
      <c r="F22" s="103" t="s">
        <v>670</v>
      </c>
      <c r="K22" s="282" t="s">
        <v>679</v>
      </c>
      <c r="L22" s="284">
        <v>4.8499999999999996</v>
      </c>
      <c r="M22" s="417">
        <v>5.97</v>
      </c>
      <c r="N22" s="417"/>
      <c r="O22" s="417"/>
      <c r="P22" s="110"/>
      <c r="V22" s="287"/>
      <c r="W22" s="31"/>
      <c r="X22" s="31"/>
      <c r="Y22" s="31"/>
    </row>
    <row r="23" spans="1:27">
      <c r="A23" s="259" t="s">
        <v>163</v>
      </c>
      <c r="B23" s="1180">
        <f>N29</f>
        <v>1.1399999999999999</v>
      </c>
      <c r="C23" s="620">
        <v>0</v>
      </c>
      <c r="D23" s="103" t="s">
        <v>159</v>
      </c>
      <c r="E23" s="110" t="s">
        <v>676</v>
      </c>
      <c r="K23" s="282" t="s">
        <v>680</v>
      </c>
      <c r="L23" s="417" t="s">
        <v>675</v>
      </c>
      <c r="M23" s="417">
        <v>1.94</v>
      </c>
      <c r="N23" s="110"/>
      <c r="O23" s="110"/>
      <c r="P23" s="110"/>
      <c r="R23" s="103" t="s">
        <v>681</v>
      </c>
      <c r="V23" s="287"/>
      <c r="W23" s="31"/>
      <c r="X23" s="31"/>
      <c r="Y23" s="31"/>
      <c r="AA23" s="106"/>
    </row>
    <row r="24" spans="1:27">
      <c r="A24" s="259" t="s">
        <v>164</v>
      </c>
      <c r="B24" s="1180">
        <f>L30</f>
        <v>1.45</v>
      </c>
      <c r="C24" s="1179">
        <f>M65</f>
        <v>2.0646651270207852</v>
      </c>
      <c r="D24" s="103" t="s">
        <v>159</v>
      </c>
      <c r="E24" s="413" t="s">
        <v>682</v>
      </c>
      <c r="F24" s="103" t="s">
        <v>670</v>
      </c>
      <c r="M24" s="110"/>
      <c r="N24" s="110"/>
      <c r="O24" s="110"/>
      <c r="P24" s="110"/>
      <c r="R24" s="418" t="s">
        <v>683</v>
      </c>
      <c r="S24" s="31"/>
      <c r="T24" s="31"/>
      <c r="U24" s="31"/>
      <c r="V24" s="287"/>
      <c r="W24" s="31"/>
      <c r="X24" s="31"/>
      <c r="Y24" s="31"/>
      <c r="AA24" s="106"/>
    </row>
    <row r="25" spans="1:27">
      <c r="A25" s="259" t="s">
        <v>684</v>
      </c>
      <c r="B25" s="1181">
        <v>14.98</v>
      </c>
      <c r="C25" s="1182">
        <f>M63+M64</f>
        <v>4.7251732101616621</v>
      </c>
      <c r="D25" s="103" t="s">
        <v>159</v>
      </c>
      <c r="E25" s="110" t="s">
        <v>676</v>
      </c>
      <c r="F25" s="103" t="s">
        <v>670</v>
      </c>
      <c r="K25" s="35" t="s">
        <v>685</v>
      </c>
      <c r="L25" s="35" t="s">
        <v>656</v>
      </c>
      <c r="M25" s="202" t="s">
        <v>656</v>
      </c>
      <c r="N25" s="202" t="s">
        <v>84</v>
      </c>
      <c r="R25" s="577">
        <v>62</v>
      </c>
      <c r="S25" s="31">
        <v>2018</v>
      </c>
      <c r="T25" s="31" t="s">
        <v>686</v>
      </c>
      <c r="U25" s="31"/>
      <c r="V25" s="287"/>
      <c r="W25" s="31"/>
      <c r="X25" s="31"/>
      <c r="Y25" s="31"/>
      <c r="AA25" s="106"/>
    </row>
    <row r="26" spans="1:27">
      <c r="A26" s="259" t="s">
        <v>166</v>
      </c>
      <c r="B26" s="1180">
        <f>M33</f>
        <v>0.57999999999999996</v>
      </c>
      <c r="C26" s="1179">
        <f>0</f>
        <v>0</v>
      </c>
      <c r="D26" s="103" t="s">
        <v>159</v>
      </c>
      <c r="E26" s="413" t="s">
        <v>653</v>
      </c>
      <c r="F26" s="103" t="s">
        <v>670</v>
      </c>
      <c r="K26" s="282"/>
      <c r="L26" s="218">
        <v>2016</v>
      </c>
      <c r="M26" s="110">
        <v>2018</v>
      </c>
      <c r="N26" s="110">
        <v>2018</v>
      </c>
      <c r="Q26" s="103" t="s">
        <v>687</v>
      </c>
      <c r="R26" s="579">
        <f>AVERAGE(62.7,63.19,61.96,60.92)</f>
        <v>62.192499999999995</v>
      </c>
      <c r="S26" s="31">
        <v>2020</v>
      </c>
      <c r="T26" s="31" t="s">
        <v>688</v>
      </c>
      <c r="U26" s="31"/>
      <c r="V26" s="287"/>
      <c r="W26" s="31"/>
      <c r="X26" s="31"/>
      <c r="Y26" s="31"/>
      <c r="AA26" s="106"/>
    </row>
    <row r="27" spans="1:27">
      <c r="A27" s="37" t="s">
        <v>689</v>
      </c>
      <c r="B27" s="1183"/>
      <c r="C27" s="1184">
        <v>0.54</v>
      </c>
      <c r="D27" s="103" t="s">
        <v>159</v>
      </c>
      <c r="F27" s="103" t="s">
        <v>670</v>
      </c>
      <c r="K27" s="282" t="s">
        <v>690</v>
      </c>
      <c r="L27" s="284">
        <v>8.07</v>
      </c>
      <c r="M27" s="417">
        <v>11.65</v>
      </c>
      <c r="N27" s="417">
        <v>12.95</v>
      </c>
      <c r="Q27" s="103" t="s">
        <v>691</v>
      </c>
      <c r="R27" s="579">
        <f>AVERAGE(76.66,76.34,78.12,77.06)</f>
        <v>77.045000000000002</v>
      </c>
      <c r="S27" s="31">
        <v>2020</v>
      </c>
      <c r="T27" s="31" t="s">
        <v>688</v>
      </c>
      <c r="U27" s="31"/>
      <c r="V27" s="287"/>
      <c r="W27" s="31"/>
      <c r="X27" s="31"/>
      <c r="Y27" s="31"/>
      <c r="AA27" s="106"/>
    </row>
    <row r="28" spans="1:27">
      <c r="A28" s="37" t="s">
        <v>692</v>
      </c>
      <c r="B28" s="1183"/>
      <c r="C28" s="1185">
        <v>1.55</v>
      </c>
      <c r="D28" s="103" t="s">
        <v>159</v>
      </c>
      <c r="F28" s="103" t="s">
        <v>670</v>
      </c>
      <c r="K28" s="282" t="s">
        <v>693</v>
      </c>
      <c r="L28" s="284">
        <v>12.47</v>
      </c>
      <c r="M28" s="417">
        <f>M27+5.57</f>
        <v>17.22</v>
      </c>
      <c r="N28" s="417">
        <f>14.98+12.95</f>
        <v>27.93</v>
      </c>
      <c r="Q28" s="103" t="s">
        <v>694</v>
      </c>
      <c r="R28" s="579">
        <v>83.51</v>
      </c>
      <c r="S28" s="31" t="s">
        <v>695</v>
      </c>
      <c r="T28" s="31" t="s">
        <v>696</v>
      </c>
      <c r="U28" s="31"/>
      <c r="V28" s="287"/>
      <c r="W28" s="31"/>
      <c r="X28" s="31"/>
      <c r="Y28" s="31"/>
      <c r="AA28" s="106"/>
    </row>
    <row r="29" spans="1:27">
      <c r="A29" s="41" t="s">
        <v>697</v>
      </c>
      <c r="B29" s="1183"/>
      <c r="C29" s="1185">
        <v>0.24</v>
      </c>
      <c r="D29" s="103" t="s">
        <v>159</v>
      </c>
      <c r="E29" s="103" t="s">
        <v>698</v>
      </c>
      <c r="F29" s="103" t="s">
        <v>670</v>
      </c>
      <c r="K29" s="282" t="s">
        <v>163</v>
      </c>
      <c r="L29" s="284">
        <v>0.72</v>
      </c>
      <c r="M29" s="417" t="s">
        <v>675</v>
      </c>
      <c r="N29" s="417">
        <v>1.1399999999999999</v>
      </c>
      <c r="Q29" s="103" t="s">
        <v>694</v>
      </c>
      <c r="R29" s="103">
        <f>AVERAGE(75.33,75.52,75.61,75.44,75.68,76.78,76.92,77.64,81.87)</f>
        <v>76.754444444444445</v>
      </c>
      <c r="S29" s="31">
        <v>2019</v>
      </c>
      <c r="T29" s="103" t="s">
        <v>699</v>
      </c>
      <c r="W29" s="31"/>
      <c r="X29" s="31"/>
      <c r="Y29" s="31"/>
      <c r="AA29" s="106"/>
    </row>
    <row r="30" spans="1:27">
      <c r="A30" s="41" t="s">
        <v>700</v>
      </c>
      <c r="B30" s="1183"/>
      <c r="C30" s="1185">
        <v>0.46</v>
      </c>
      <c r="D30" s="103" t="s">
        <v>159</v>
      </c>
      <c r="E30" s="103" t="s">
        <v>698</v>
      </c>
      <c r="F30" s="103" t="s">
        <v>670</v>
      </c>
      <c r="K30" s="282" t="s">
        <v>164</v>
      </c>
      <c r="L30" s="284">
        <v>1.45</v>
      </c>
      <c r="M30" s="417" t="s">
        <v>675</v>
      </c>
      <c r="N30" s="417" t="s">
        <v>675</v>
      </c>
      <c r="W30" s="31"/>
      <c r="X30" s="31"/>
      <c r="Y30" s="31"/>
      <c r="AA30" s="106"/>
    </row>
    <row r="31" spans="1:27">
      <c r="A31" s="599"/>
      <c r="K31" s="282" t="s">
        <v>160</v>
      </c>
      <c r="L31" s="284">
        <v>1.52</v>
      </c>
      <c r="M31" s="417">
        <v>1.68</v>
      </c>
      <c r="N31" s="417">
        <v>3.46</v>
      </c>
      <c r="R31" s="34" t="s">
        <v>701</v>
      </c>
      <c r="S31" s="31"/>
      <c r="T31" s="31"/>
      <c r="U31" s="31"/>
      <c r="V31" s="31"/>
      <c r="W31" s="31"/>
      <c r="X31" s="31"/>
      <c r="Y31" s="31"/>
      <c r="AA31" s="106"/>
    </row>
    <row r="32" spans="1:27">
      <c r="A32" s="599"/>
      <c r="B32" s="603"/>
      <c r="K32" s="282" t="s">
        <v>702</v>
      </c>
      <c r="L32" s="284">
        <v>2.16</v>
      </c>
      <c r="M32" s="417">
        <v>2.14</v>
      </c>
      <c r="N32" s="417">
        <v>3.34</v>
      </c>
      <c r="Q32" s="39"/>
      <c r="R32" s="578">
        <v>7.9000000000000001E-2</v>
      </c>
      <c r="S32" s="31">
        <v>2018</v>
      </c>
      <c r="T32" s="31" t="s">
        <v>686</v>
      </c>
      <c r="U32" s="31"/>
      <c r="V32" s="288"/>
      <c r="W32" s="31"/>
      <c r="X32" s="31"/>
      <c r="Y32" s="31"/>
      <c r="AA32" s="106"/>
    </row>
    <row r="33" spans="1:27">
      <c r="B33" s="284"/>
      <c r="K33" s="282" t="s">
        <v>166</v>
      </c>
      <c r="L33" s="284">
        <v>0.61</v>
      </c>
      <c r="M33" s="417">
        <v>0.57999999999999996</v>
      </c>
      <c r="N33" s="417" t="s">
        <v>675</v>
      </c>
      <c r="Q33" s="103" t="s">
        <v>703</v>
      </c>
      <c r="R33" s="581">
        <f>AVERAGE(11.8,11.3,12,13.7)/100</f>
        <v>0.122</v>
      </c>
      <c r="S33" s="31">
        <v>2020</v>
      </c>
      <c r="T33" s="31" t="s">
        <v>688</v>
      </c>
      <c r="U33" s="31"/>
      <c r="V33" s="31"/>
      <c r="W33" s="31"/>
      <c r="X33" s="31"/>
      <c r="Y33" s="31"/>
      <c r="AA33" s="106"/>
    </row>
    <row r="34" spans="1:27">
      <c r="K34" s="282" t="s">
        <v>704</v>
      </c>
      <c r="L34" s="284">
        <v>0.25</v>
      </c>
      <c r="M34" s="417">
        <v>0.24</v>
      </c>
      <c r="N34" s="417" t="s">
        <v>675</v>
      </c>
      <c r="Q34" s="103" t="s">
        <v>691</v>
      </c>
      <c r="R34" s="581">
        <f>AVERAGE(12.1,11.3,12,13.7)/100</f>
        <v>0.12274999999999998</v>
      </c>
      <c r="S34" s="31">
        <v>2020</v>
      </c>
      <c r="T34" s="31" t="s">
        <v>688</v>
      </c>
      <c r="U34" s="31"/>
      <c r="V34" s="31"/>
      <c r="W34" s="31"/>
      <c r="X34" s="31"/>
      <c r="Y34" s="31"/>
      <c r="AA34" s="106"/>
    </row>
    <row r="35" spans="1:27">
      <c r="B35" s="604"/>
      <c r="K35" s="282" t="s">
        <v>705</v>
      </c>
      <c r="L35" s="284">
        <v>2</v>
      </c>
      <c r="M35" s="417">
        <v>2.15</v>
      </c>
      <c r="N35" s="417">
        <v>3.52</v>
      </c>
      <c r="Q35" s="103" t="s">
        <v>694</v>
      </c>
      <c r="R35" s="581">
        <v>5.8000000000000003E-2</v>
      </c>
      <c r="S35" s="31">
        <v>2019</v>
      </c>
      <c r="T35" s="31" t="s">
        <v>706</v>
      </c>
      <c r="U35" s="31"/>
      <c r="V35" s="31"/>
      <c r="W35" s="31"/>
      <c r="X35" s="31"/>
      <c r="Y35" s="31"/>
      <c r="AA35" s="106"/>
    </row>
    <row r="36" spans="1:27">
      <c r="K36" s="282" t="s">
        <v>707</v>
      </c>
      <c r="L36" s="417" t="s">
        <v>675</v>
      </c>
      <c r="M36" s="417">
        <v>5.32</v>
      </c>
      <c r="N36" s="417" t="s">
        <v>675</v>
      </c>
      <c r="Q36" s="417" t="s">
        <v>694</v>
      </c>
      <c r="R36" s="580">
        <f>AVERAGE(5.4,8.6,6.7,5.9)/100</f>
        <v>6.6500000000000004E-2</v>
      </c>
      <c r="S36" s="582">
        <v>43739</v>
      </c>
      <c r="T36" s="34" t="s">
        <v>699</v>
      </c>
      <c r="U36" s="34"/>
      <c r="V36" s="34"/>
      <c r="W36" s="34"/>
      <c r="X36" s="34"/>
      <c r="Y36" s="34"/>
      <c r="AA36" s="106"/>
    </row>
    <row r="37" spans="1:27">
      <c r="B37" s="110"/>
      <c r="C37" s="110"/>
      <c r="D37" s="110"/>
      <c r="E37" s="110"/>
      <c r="F37" s="110"/>
      <c r="G37" s="110"/>
      <c r="H37" s="110"/>
      <c r="R37" s="34"/>
      <c r="S37" s="34"/>
      <c r="T37" s="34"/>
      <c r="U37" s="34"/>
      <c r="V37" s="34"/>
      <c r="W37" s="34"/>
      <c r="X37" s="34"/>
      <c r="Y37" s="34"/>
      <c r="AA37" s="106"/>
    </row>
    <row r="38" spans="1:27" s="110" customFormat="1">
      <c r="A38" s="103"/>
    </row>
    <row r="39" spans="1:27" s="110" customFormat="1"/>
    <row r="40" spans="1:27" s="110" customFormat="1">
      <c r="A40" s="601"/>
      <c r="B40" s="605"/>
      <c r="K40" s="274" t="s">
        <v>647</v>
      </c>
      <c r="L40" s="202" t="s">
        <v>656</v>
      </c>
      <c r="M40" s="35" t="s">
        <v>84</v>
      </c>
      <c r="R40" s="202"/>
    </row>
    <row r="41" spans="1:27" s="110" customFormat="1" ht="15" customHeight="1">
      <c r="A41" s="600"/>
      <c r="B41" s="605"/>
      <c r="K41" s="610" t="s">
        <v>708</v>
      </c>
      <c r="L41" s="110">
        <v>819095</v>
      </c>
      <c r="M41" s="611"/>
      <c r="S41" s="602"/>
    </row>
    <row r="42" spans="1:27" s="110" customFormat="1" ht="15" customHeight="1">
      <c r="A42" s="600"/>
      <c r="B42" s="605"/>
      <c r="K42" s="610" t="s">
        <v>709</v>
      </c>
      <c r="L42" s="110">
        <v>270</v>
      </c>
      <c r="M42" s="611"/>
      <c r="S42" s="602"/>
    </row>
    <row r="43" spans="1:27" s="110" customFormat="1" ht="14.45" customHeight="1">
      <c r="A43" s="600"/>
      <c r="B43" s="605"/>
      <c r="K43" s="924" t="s">
        <v>710</v>
      </c>
      <c r="L43" s="110">
        <v>933</v>
      </c>
      <c r="M43" s="106">
        <v>866</v>
      </c>
      <c r="N43" s="106">
        <v>2020</v>
      </c>
      <c r="O43" s="106" t="s">
        <v>711</v>
      </c>
    </row>
    <row r="44" spans="1:27" s="110" customFormat="1" ht="14.45" customHeight="1">
      <c r="A44" s="600"/>
      <c r="B44" s="605"/>
      <c r="K44" s="924"/>
      <c r="M44" s="106">
        <v>700</v>
      </c>
      <c r="N44" s="110">
        <v>2019</v>
      </c>
      <c r="O44" s="110" t="s">
        <v>712</v>
      </c>
    </row>
    <row r="45" spans="1:27" s="110" customFormat="1" ht="14.45" customHeight="1">
      <c r="A45" s="600"/>
      <c r="B45" s="605"/>
      <c r="K45" s="924" t="s">
        <v>713</v>
      </c>
      <c r="M45" s="417">
        <v>4.62</v>
      </c>
      <c r="N45" s="110">
        <v>2018</v>
      </c>
      <c r="O45" s="110" t="s">
        <v>714</v>
      </c>
    </row>
    <row r="46" spans="1:27" s="110" customFormat="1" ht="14.45" customHeight="1">
      <c r="A46" s="600"/>
      <c r="B46" s="605"/>
      <c r="K46" s="924"/>
      <c r="M46" s="417">
        <v>4.9800000000000004</v>
      </c>
      <c r="N46" s="110">
        <v>2019</v>
      </c>
      <c r="O46" s="110" t="s">
        <v>715</v>
      </c>
    </row>
    <row r="47" spans="1:27" s="110" customFormat="1" ht="14.45" customHeight="1">
      <c r="A47" s="600"/>
      <c r="B47" s="605"/>
      <c r="K47" s="924"/>
      <c r="M47" s="417">
        <v>3.89</v>
      </c>
      <c r="N47" s="110">
        <v>2020</v>
      </c>
      <c r="O47" s="110" t="s">
        <v>716</v>
      </c>
    </row>
    <row r="48" spans="1:27" s="110" customFormat="1" ht="14.45" customHeight="1">
      <c r="A48" s="600"/>
      <c r="B48" s="605"/>
      <c r="K48" s="610" t="s">
        <v>717</v>
      </c>
      <c r="L48" s="615">
        <v>0.51</v>
      </c>
      <c r="M48" s="120">
        <v>0.316</v>
      </c>
      <c r="O48" s="106" t="s">
        <v>718</v>
      </c>
      <c r="S48" s="602"/>
    </row>
    <row r="49" spans="1:38" s="110" customFormat="1" ht="14.45" customHeight="1">
      <c r="A49" s="199"/>
      <c r="B49" s="605"/>
      <c r="K49" s="924" t="s">
        <v>719</v>
      </c>
      <c r="M49" s="612">
        <v>3374</v>
      </c>
      <c r="N49" s="106">
        <v>2020</v>
      </c>
      <c r="O49" s="106" t="s">
        <v>720</v>
      </c>
      <c r="S49" s="416"/>
    </row>
    <row r="50" spans="1:38" s="110" customFormat="1" ht="14.45" customHeight="1">
      <c r="A50" s="199"/>
      <c r="B50" s="605"/>
      <c r="K50" s="924"/>
      <c r="M50" s="602">
        <v>1353</v>
      </c>
      <c r="N50" s="110">
        <v>2017</v>
      </c>
      <c r="O50" s="110" t="s">
        <v>721</v>
      </c>
      <c r="P50" s="106"/>
      <c r="S50" s="416"/>
    </row>
    <row r="51" spans="1:38" s="110" customFormat="1" ht="14.45" customHeight="1">
      <c r="A51" s="199"/>
      <c r="B51" s="605"/>
      <c r="K51" s="106" t="s">
        <v>722</v>
      </c>
      <c r="L51" s="415">
        <v>16.95</v>
      </c>
      <c r="M51" s="613"/>
      <c r="O51" s="106"/>
      <c r="P51" s="106"/>
      <c r="S51" s="417"/>
    </row>
    <row r="52" spans="1:38" s="110" customFormat="1" ht="14.45" customHeight="1">
      <c r="A52" s="199"/>
      <c r="B52" s="605"/>
      <c r="K52" s="110" t="s">
        <v>723</v>
      </c>
      <c r="L52" s="415">
        <v>15.67</v>
      </c>
      <c r="M52" s="106"/>
      <c r="N52" s="106">
        <v>2019</v>
      </c>
      <c r="O52" s="106" t="s">
        <v>712</v>
      </c>
      <c r="S52" s="417"/>
    </row>
    <row r="53" spans="1:38" s="110" customFormat="1" ht="14.45" customHeight="1">
      <c r="A53" s="199"/>
      <c r="K53" s="106" t="s">
        <v>724</v>
      </c>
      <c r="L53" s="415"/>
      <c r="M53" s="614">
        <v>0.04</v>
      </c>
      <c r="S53" s="417"/>
    </row>
    <row r="54" spans="1:38" s="110" customFormat="1" ht="14.45" customHeight="1">
      <c r="A54" s="199"/>
      <c r="K54" s="110" t="s">
        <v>725</v>
      </c>
      <c r="L54" s="415">
        <v>-1.01</v>
      </c>
      <c r="O54" s="106"/>
      <c r="P54" s="106"/>
    </row>
    <row r="55" spans="1:38" s="110" customFormat="1" ht="14.45" customHeight="1">
      <c r="K55" s="106" t="s">
        <v>726</v>
      </c>
      <c r="L55" s="415">
        <v>-0.09</v>
      </c>
      <c r="M55" s="106"/>
      <c r="S55" s="103"/>
      <c r="T55" s="103"/>
      <c r="U55" s="103"/>
    </row>
    <row r="56" spans="1:38" s="110" customFormat="1" ht="14.45" customHeight="1">
      <c r="A56" s="106"/>
      <c r="K56" s="106" t="s">
        <v>727</v>
      </c>
      <c r="L56" s="415">
        <v>-0.19</v>
      </c>
      <c r="N56" s="110">
        <v>2017</v>
      </c>
      <c r="O56" s="278" t="s">
        <v>721</v>
      </c>
    </row>
    <row r="57" spans="1:38" s="110" customFormat="1" ht="14.45" customHeight="1">
      <c r="A57" s="103"/>
      <c r="B57" s="103"/>
      <c r="C57" s="103"/>
      <c r="D57" s="103"/>
      <c r="E57" s="103"/>
      <c r="F57" s="103"/>
      <c r="G57" s="103"/>
      <c r="K57" s="106" t="s">
        <v>728</v>
      </c>
      <c r="L57" s="415">
        <v>0.98</v>
      </c>
      <c r="M57" s="110" t="s">
        <v>729</v>
      </c>
      <c r="N57" s="110">
        <v>2017</v>
      </c>
      <c r="O57" s="278" t="s">
        <v>721</v>
      </c>
    </row>
    <row r="58" spans="1:38">
      <c r="K58" s="106" t="s">
        <v>730</v>
      </c>
      <c r="L58" s="415">
        <v>6.45</v>
      </c>
      <c r="M58" s="616">
        <f>(820*12)/M43</f>
        <v>11.362586605080832</v>
      </c>
      <c r="N58" s="110">
        <v>2017</v>
      </c>
      <c r="O58" s="110" t="s">
        <v>721</v>
      </c>
    </row>
    <row r="59" spans="1:38">
      <c r="K59" s="662" t="s">
        <v>731</v>
      </c>
      <c r="L59" s="415">
        <v>0.52</v>
      </c>
      <c r="M59" s="616">
        <f>(174*12)/M43</f>
        <v>2.4110854503464205</v>
      </c>
      <c r="N59" s="110">
        <v>2017</v>
      </c>
      <c r="O59" s="110" t="s">
        <v>721</v>
      </c>
    </row>
    <row r="60" spans="1:38">
      <c r="K60" s="662" t="s">
        <v>732</v>
      </c>
      <c r="L60" s="415">
        <v>0.38</v>
      </c>
      <c r="M60" s="616">
        <f>((68+97)*12)/M43</f>
        <v>2.2863741339491916</v>
      </c>
      <c r="N60" s="110"/>
      <c r="O60" s="110"/>
    </row>
    <row r="61" spans="1:38">
      <c r="K61" s="662" t="s">
        <v>689</v>
      </c>
      <c r="L61" s="415">
        <v>0.54</v>
      </c>
      <c r="M61" s="663"/>
      <c r="N61" s="110">
        <v>2017</v>
      </c>
      <c r="O61" s="110" t="s">
        <v>721</v>
      </c>
    </row>
    <row r="62" spans="1:38">
      <c r="H62" s="106"/>
      <c r="K62" s="662" t="s">
        <v>692</v>
      </c>
      <c r="L62" s="415">
        <v>1.55</v>
      </c>
      <c r="M62" s="415">
        <f>(107*12)/M43</f>
        <v>1.4826789838337182</v>
      </c>
      <c r="N62" s="110">
        <v>2017</v>
      </c>
      <c r="O62" s="110" t="s">
        <v>721</v>
      </c>
      <c r="R62" s="106"/>
      <c r="S62" s="106"/>
      <c r="T62" s="106"/>
      <c r="U62" s="106"/>
      <c r="V62" s="106"/>
      <c r="W62" s="106"/>
      <c r="X62" s="106"/>
      <c r="Y62" s="106"/>
      <c r="Z62" s="106"/>
      <c r="AA62" s="106"/>
      <c r="AB62" s="106"/>
      <c r="AC62" s="106"/>
      <c r="AD62" s="106"/>
      <c r="AE62" s="106"/>
      <c r="AF62" s="106"/>
      <c r="AG62" s="106"/>
      <c r="AH62" s="106"/>
      <c r="AI62" s="106"/>
      <c r="AJ62" s="106"/>
      <c r="AK62" s="106"/>
      <c r="AL62" s="106"/>
    </row>
    <row r="63" spans="1:38">
      <c r="H63" s="106"/>
      <c r="K63" s="662" t="s">
        <v>733</v>
      </c>
      <c r="L63" s="415">
        <v>0.27</v>
      </c>
      <c r="M63" s="617">
        <f>(50*12)/M43</f>
        <v>0.69284064665127021</v>
      </c>
      <c r="N63" s="110">
        <v>2017</v>
      </c>
      <c r="O63" s="110" t="s">
        <v>721</v>
      </c>
      <c r="R63" s="106"/>
      <c r="S63" s="106"/>
      <c r="T63" s="106"/>
      <c r="U63" s="106"/>
      <c r="V63" s="106"/>
      <c r="W63" s="106"/>
      <c r="X63" s="106"/>
      <c r="Y63" s="106"/>
      <c r="Z63" s="106"/>
      <c r="AA63" s="106"/>
      <c r="AB63" s="106"/>
      <c r="AC63" s="106"/>
      <c r="AD63" s="106"/>
      <c r="AE63" s="106"/>
      <c r="AF63" s="106"/>
      <c r="AG63" s="106"/>
      <c r="AH63" s="106"/>
      <c r="AI63" s="106"/>
      <c r="AJ63" s="106"/>
      <c r="AK63" s="106"/>
      <c r="AL63" s="106"/>
    </row>
    <row r="64" spans="1:38">
      <c r="H64" s="106"/>
      <c r="K64" s="662" t="s">
        <v>734</v>
      </c>
      <c r="L64" s="415">
        <v>2.1800000000000002</v>
      </c>
      <c r="M64" s="616">
        <f>(291*12)/M43</f>
        <v>4.0323325635103924</v>
      </c>
      <c r="N64" s="110">
        <v>2017</v>
      </c>
      <c r="O64" s="110" t="s">
        <v>721</v>
      </c>
      <c r="R64" s="106"/>
      <c r="S64" s="106"/>
      <c r="T64" s="106"/>
      <c r="U64" s="106"/>
      <c r="V64" s="106"/>
      <c r="W64" s="106"/>
      <c r="X64" s="106"/>
      <c r="Y64" s="106"/>
      <c r="Z64" s="106"/>
      <c r="AA64" s="106"/>
      <c r="AB64" s="106"/>
      <c r="AC64" s="106"/>
      <c r="AD64" s="106"/>
      <c r="AE64" s="106"/>
      <c r="AF64" s="106"/>
      <c r="AG64" s="106"/>
      <c r="AH64" s="106"/>
      <c r="AI64" s="106"/>
      <c r="AJ64" s="106"/>
      <c r="AK64" s="106"/>
      <c r="AL64" s="106"/>
    </row>
    <row r="65" spans="8:38">
      <c r="H65" s="106"/>
      <c r="K65" s="662" t="s">
        <v>164</v>
      </c>
      <c r="L65" s="415">
        <v>0.31</v>
      </c>
      <c r="M65" s="616">
        <f>(149*12)/M43</f>
        <v>2.0646651270207852</v>
      </c>
      <c r="N65" s="110">
        <v>2017</v>
      </c>
      <c r="O65" s="110" t="s">
        <v>721</v>
      </c>
      <c r="Q65" s="110"/>
      <c r="R65" s="106"/>
      <c r="S65" s="106"/>
      <c r="T65" s="106"/>
      <c r="U65" s="106"/>
      <c r="V65" s="106"/>
      <c r="W65" s="106"/>
      <c r="X65" s="106"/>
      <c r="Y65" s="106"/>
      <c r="Z65" s="106"/>
      <c r="AA65" s="106"/>
      <c r="AB65" s="106"/>
      <c r="AC65" s="106"/>
      <c r="AD65" s="106"/>
      <c r="AE65" s="106"/>
      <c r="AF65" s="106"/>
      <c r="AG65" s="106"/>
      <c r="AH65" s="106"/>
      <c r="AI65" s="106"/>
      <c r="AJ65" s="106"/>
      <c r="AK65" s="106"/>
      <c r="AL65" s="106"/>
    </row>
    <row r="66" spans="8:38">
      <c r="H66" s="106"/>
      <c r="K66" s="662" t="s">
        <v>697</v>
      </c>
      <c r="L66" s="415">
        <v>0.24</v>
      </c>
      <c r="M66" s="664"/>
      <c r="N66" s="110"/>
      <c r="O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row>
    <row r="67" spans="8:38">
      <c r="H67" s="106"/>
      <c r="K67" s="662" t="s">
        <v>700</v>
      </c>
      <c r="L67" s="415">
        <v>0.46</v>
      </c>
      <c r="M67" s="665"/>
      <c r="N67" s="106"/>
      <c r="O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row>
    <row r="68" spans="8:38">
      <c r="H68" s="106"/>
      <c r="K68" s="662"/>
      <c r="L68" s="106"/>
      <c r="M68" s="106"/>
      <c r="N68" s="106"/>
      <c r="O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row>
    <row r="69" spans="8:38">
      <c r="H69" s="106"/>
      <c r="K69" s="662" t="s">
        <v>735</v>
      </c>
      <c r="L69" s="415">
        <v>10.210000000000001</v>
      </c>
      <c r="M69" s="618">
        <f>(540*12)/M43</f>
        <v>7.4826789838337184</v>
      </c>
      <c r="N69" s="110">
        <v>2017</v>
      </c>
      <c r="O69" s="110" t="s">
        <v>721</v>
      </c>
      <c r="Q69" s="106"/>
      <c r="R69" s="106"/>
      <c r="S69" s="106"/>
      <c r="T69" s="106"/>
      <c r="U69" s="106"/>
      <c r="V69" s="106"/>
      <c r="W69" s="106"/>
      <c r="X69" s="106"/>
      <c r="Y69" s="106"/>
      <c r="Z69" s="106"/>
      <c r="AA69" s="106"/>
      <c r="AB69" s="106"/>
      <c r="AC69" s="106"/>
      <c r="AD69" s="106"/>
      <c r="AE69" s="106"/>
      <c r="AF69" s="106"/>
      <c r="AG69" s="106"/>
      <c r="AH69" s="106"/>
      <c r="AI69" s="106"/>
      <c r="AJ69" s="106"/>
      <c r="AK69" s="106"/>
      <c r="AL69" s="106"/>
    </row>
    <row r="70" spans="8:38">
      <c r="K70" s="662" t="s">
        <v>736</v>
      </c>
      <c r="M70" s="619">
        <v>540</v>
      </c>
      <c r="N70" s="110">
        <v>2017</v>
      </c>
      <c r="O70" s="110" t="s">
        <v>721</v>
      </c>
    </row>
    <row r="71" spans="8:38">
      <c r="K71" s="662" t="s">
        <v>737</v>
      </c>
      <c r="M71" s="416">
        <v>0.503</v>
      </c>
      <c r="N71" s="110">
        <v>2020</v>
      </c>
      <c r="O71" s="110" t="s">
        <v>716</v>
      </c>
    </row>
    <row r="72" spans="8:38">
      <c r="K72" s="110" t="s">
        <v>738</v>
      </c>
      <c r="M72" s="416">
        <v>0.59299999999999997</v>
      </c>
      <c r="N72" s="110">
        <v>2017</v>
      </c>
      <c r="O72" s="110" t="s">
        <v>716</v>
      </c>
    </row>
    <row r="74" spans="8:38">
      <c r="L74" s="278" t="s">
        <v>739</v>
      </c>
    </row>
    <row r="96" spans="8:38">
      <c r="H96" s="110"/>
      <c r="I96" s="411" t="s">
        <v>740</v>
      </c>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row>
    <row r="97" spans="8:38">
      <c r="H97" s="110"/>
      <c r="I97" s="202" t="s">
        <v>741</v>
      </c>
      <c r="J97" s="110"/>
      <c r="K97" s="110"/>
      <c r="L97" s="110"/>
      <c r="M97" s="110"/>
      <c r="N97" s="1186"/>
      <c r="O97" s="1187"/>
      <c r="P97" s="1187"/>
      <c r="Q97" s="1187"/>
      <c r="R97" s="1187"/>
      <c r="S97" s="1187"/>
      <c r="T97" s="1187"/>
      <c r="U97" s="1187"/>
      <c r="V97" s="1187"/>
      <c r="W97" s="1187"/>
      <c r="X97" s="1187"/>
      <c r="Y97" s="1188" t="s">
        <v>742</v>
      </c>
      <c r="Z97" s="1188"/>
      <c r="AA97" s="1187"/>
      <c r="AB97" s="1187"/>
      <c r="AC97" s="1187"/>
      <c r="AD97" s="1187"/>
      <c r="AE97" s="1187"/>
      <c r="AF97" s="1187"/>
      <c r="AG97" s="1187"/>
      <c r="AH97" s="1187"/>
      <c r="AI97" s="1187"/>
      <c r="AJ97" s="1187"/>
      <c r="AK97" s="1189"/>
      <c r="AL97" s="110"/>
    </row>
    <row r="98" spans="8:38">
      <c r="H98" s="372"/>
      <c r="I98" s="202" t="s">
        <v>743</v>
      </c>
      <c r="J98" s="110"/>
      <c r="K98" s="354" t="s">
        <v>744</v>
      </c>
      <c r="L98" s="354"/>
      <c r="M98" s="354"/>
      <c r="N98" s="355">
        <v>1</v>
      </c>
      <c r="O98" s="355">
        <v>2</v>
      </c>
      <c r="P98" s="355">
        <v>3</v>
      </c>
      <c r="Q98" s="355">
        <v>4</v>
      </c>
      <c r="R98" s="355">
        <v>5</v>
      </c>
      <c r="S98" s="355">
        <v>6</v>
      </c>
      <c r="T98" s="355">
        <v>7</v>
      </c>
      <c r="U98" s="355">
        <v>8</v>
      </c>
      <c r="V98" s="355">
        <v>9</v>
      </c>
      <c r="W98" s="355">
        <v>10</v>
      </c>
      <c r="X98" s="355">
        <v>11</v>
      </c>
      <c r="Y98" s="355">
        <v>12</v>
      </c>
      <c r="Z98" s="355">
        <v>13</v>
      </c>
      <c r="AA98" s="355">
        <v>14</v>
      </c>
      <c r="AB98" s="355">
        <v>15</v>
      </c>
      <c r="AC98" s="355">
        <v>16</v>
      </c>
      <c r="AD98" s="355">
        <v>17</v>
      </c>
      <c r="AE98" s="355">
        <v>18</v>
      </c>
      <c r="AF98" s="355">
        <v>19</v>
      </c>
      <c r="AG98" s="355">
        <v>20</v>
      </c>
      <c r="AH98" s="355">
        <v>21</v>
      </c>
      <c r="AI98" s="355">
        <v>22</v>
      </c>
      <c r="AJ98" s="355">
        <v>23</v>
      </c>
      <c r="AK98" s="355">
        <v>24</v>
      </c>
      <c r="AL98" s="110"/>
    </row>
    <row r="99" spans="8:38">
      <c r="H99" s="372"/>
      <c r="I99" s="1190" t="s">
        <v>745</v>
      </c>
      <c r="J99" s="354" t="s">
        <v>746</v>
      </c>
      <c r="K99" s="356" t="s">
        <v>747</v>
      </c>
      <c r="L99" s="356"/>
      <c r="M99" s="356"/>
      <c r="N99" s="1190">
        <v>0.05</v>
      </c>
      <c r="O99" s="354">
        <v>0.05</v>
      </c>
      <c r="P99" s="354">
        <v>0.05</v>
      </c>
      <c r="Q99" s="354">
        <v>0.05</v>
      </c>
      <c r="R99" s="354">
        <v>0.05</v>
      </c>
      <c r="S99" s="357">
        <v>0.1</v>
      </c>
      <c r="T99" s="358">
        <v>0.1</v>
      </c>
      <c r="U99" s="358">
        <v>0.3</v>
      </c>
      <c r="V99" s="358">
        <v>0.65</v>
      </c>
      <c r="W99" s="358">
        <v>0.65</v>
      </c>
      <c r="X99" s="358">
        <v>0.65</v>
      </c>
      <c r="Y99" s="358">
        <v>0.65</v>
      </c>
      <c r="Z99" s="358">
        <v>0.55000000000000004</v>
      </c>
      <c r="AA99" s="357">
        <v>0.65</v>
      </c>
      <c r="AB99" s="358">
        <v>0.65</v>
      </c>
      <c r="AC99" s="358">
        <v>0.65</v>
      </c>
      <c r="AD99" s="358">
        <v>0.65</v>
      </c>
      <c r="AE99" s="358">
        <v>0.35</v>
      </c>
      <c r="AF99" s="358">
        <v>0.3</v>
      </c>
      <c r="AG99" s="358">
        <v>0.3</v>
      </c>
      <c r="AH99" s="358">
        <v>0.2</v>
      </c>
      <c r="AI99" s="358">
        <v>0.2</v>
      </c>
      <c r="AJ99" s="358">
        <v>0.1</v>
      </c>
      <c r="AK99" s="359">
        <v>0.05</v>
      </c>
      <c r="AL99" s="110"/>
    </row>
    <row r="100" spans="8:38">
      <c r="H100" s="372"/>
      <c r="I100" s="360"/>
      <c r="J100" s="361"/>
      <c r="K100" s="362" t="s">
        <v>748</v>
      </c>
      <c r="L100" s="362"/>
      <c r="M100" s="362"/>
      <c r="N100" s="360">
        <v>0.05</v>
      </c>
      <c r="O100" s="361">
        <v>0.05</v>
      </c>
      <c r="P100" s="361">
        <v>0.05</v>
      </c>
      <c r="Q100" s="361">
        <v>0.05</v>
      </c>
      <c r="R100" s="361">
        <v>0.05</v>
      </c>
      <c r="S100" s="361">
        <v>0.05</v>
      </c>
      <c r="T100" s="11">
        <v>0.1</v>
      </c>
      <c r="U100" s="11">
        <v>0.1</v>
      </c>
      <c r="V100" s="11">
        <v>0.3</v>
      </c>
      <c r="W100" s="11">
        <v>0.3</v>
      </c>
      <c r="X100" s="11">
        <v>0.3</v>
      </c>
      <c r="Y100" s="11">
        <v>0.3</v>
      </c>
      <c r="Z100" s="11">
        <v>0.15</v>
      </c>
      <c r="AA100" s="110">
        <v>0.15</v>
      </c>
      <c r="AB100" s="11">
        <v>0.15</v>
      </c>
      <c r="AC100" s="361">
        <v>0.15</v>
      </c>
      <c r="AD100" s="11">
        <v>0.15</v>
      </c>
      <c r="AE100" s="361">
        <v>0.05</v>
      </c>
      <c r="AF100" s="361">
        <v>0.05</v>
      </c>
      <c r="AG100" s="361">
        <v>0.05</v>
      </c>
      <c r="AH100" s="361">
        <v>0.05</v>
      </c>
      <c r="AI100" s="361">
        <v>0.05</v>
      </c>
      <c r="AJ100" s="361">
        <v>0.05</v>
      </c>
      <c r="AK100" s="363">
        <v>0.05</v>
      </c>
      <c r="AL100" s="110"/>
    </row>
    <row r="101" spans="8:38">
      <c r="H101" s="372"/>
      <c r="I101" s="364"/>
      <c r="J101" s="365"/>
      <c r="K101" s="366" t="s">
        <v>749</v>
      </c>
      <c r="L101" s="366"/>
      <c r="M101" s="366"/>
      <c r="N101" s="364">
        <v>0.05</v>
      </c>
      <c r="O101" s="365">
        <v>0.05</v>
      </c>
      <c r="P101" s="365">
        <v>0.05</v>
      </c>
      <c r="Q101" s="365">
        <v>0.05</v>
      </c>
      <c r="R101" s="365">
        <v>0.05</v>
      </c>
      <c r="S101" s="365">
        <v>0.05</v>
      </c>
      <c r="T101" s="365">
        <v>0.05</v>
      </c>
      <c r="U101" s="365">
        <v>0.05</v>
      </c>
      <c r="V101" s="365">
        <v>0.05</v>
      </c>
      <c r="W101" s="365">
        <v>0.05</v>
      </c>
      <c r="X101" s="365">
        <v>0.05</v>
      </c>
      <c r="Y101" s="365">
        <v>0.05</v>
      </c>
      <c r="Z101" s="365">
        <v>0.05</v>
      </c>
      <c r="AA101" s="365">
        <v>0.05</v>
      </c>
      <c r="AB101" s="365">
        <v>0.05</v>
      </c>
      <c r="AC101" s="365">
        <v>0.05</v>
      </c>
      <c r="AD101" s="365">
        <v>0.05</v>
      </c>
      <c r="AE101" s="365">
        <v>0.05</v>
      </c>
      <c r="AF101" s="365">
        <v>0.05</v>
      </c>
      <c r="AG101" s="365">
        <v>0.05</v>
      </c>
      <c r="AH101" s="365">
        <v>0.05</v>
      </c>
      <c r="AI101" s="365">
        <v>0.05</v>
      </c>
      <c r="AJ101" s="365">
        <v>0.05</v>
      </c>
      <c r="AK101" s="367">
        <v>0.05</v>
      </c>
      <c r="AL101" s="110"/>
    </row>
    <row r="102" spans="8:38">
      <c r="H102" s="372"/>
      <c r="I102" s="360" t="s">
        <v>750</v>
      </c>
      <c r="J102" s="361" t="s">
        <v>751</v>
      </c>
      <c r="K102" s="362" t="s">
        <v>747</v>
      </c>
      <c r="L102" s="362"/>
      <c r="M102" s="362"/>
      <c r="N102" s="1190">
        <v>0</v>
      </c>
      <c r="O102" s="354">
        <v>0</v>
      </c>
      <c r="P102" s="354">
        <v>0</v>
      </c>
      <c r="Q102" s="354">
        <v>0</v>
      </c>
      <c r="R102" s="354">
        <v>0</v>
      </c>
      <c r="S102" s="354">
        <v>0</v>
      </c>
      <c r="T102" s="354">
        <v>0</v>
      </c>
      <c r="U102" s="354">
        <v>1</v>
      </c>
      <c r="V102" s="354">
        <v>1</v>
      </c>
      <c r="W102" s="354">
        <v>1</v>
      </c>
      <c r="X102" s="354">
        <v>1</v>
      </c>
      <c r="Y102" s="354">
        <v>1</v>
      </c>
      <c r="Z102" s="354">
        <v>1</v>
      </c>
      <c r="AA102" s="354">
        <v>1</v>
      </c>
      <c r="AB102" s="354">
        <v>1</v>
      </c>
      <c r="AC102" s="354">
        <v>1</v>
      </c>
      <c r="AD102" s="354">
        <v>1</v>
      </c>
      <c r="AE102" s="354">
        <v>1</v>
      </c>
      <c r="AF102" s="354">
        <v>1</v>
      </c>
      <c r="AG102" s="354">
        <v>1</v>
      </c>
      <c r="AH102" s="354">
        <v>1</v>
      </c>
      <c r="AI102" s="354">
        <v>1</v>
      </c>
      <c r="AJ102" s="368">
        <v>0</v>
      </c>
      <c r="AK102" s="369">
        <v>0</v>
      </c>
      <c r="AL102" s="110"/>
    </row>
    <row r="103" spans="8:38">
      <c r="H103" s="372"/>
      <c r="I103" s="360"/>
      <c r="J103" s="361"/>
      <c r="K103" s="362" t="s">
        <v>748</v>
      </c>
      <c r="L103" s="362"/>
      <c r="M103" s="362"/>
      <c r="N103" s="360">
        <v>0</v>
      </c>
      <c r="O103" s="361">
        <v>0</v>
      </c>
      <c r="P103" s="361">
        <v>0</v>
      </c>
      <c r="Q103" s="361">
        <v>0</v>
      </c>
      <c r="R103" s="361">
        <v>0</v>
      </c>
      <c r="S103" s="361">
        <v>0</v>
      </c>
      <c r="T103" s="361">
        <v>0</v>
      </c>
      <c r="U103" s="361">
        <v>1</v>
      </c>
      <c r="V103" s="361">
        <v>1</v>
      </c>
      <c r="W103" s="361">
        <v>1</v>
      </c>
      <c r="X103" s="361">
        <v>1</v>
      </c>
      <c r="Y103" s="361">
        <v>1</v>
      </c>
      <c r="Z103" s="361">
        <v>1</v>
      </c>
      <c r="AA103" s="110">
        <v>1</v>
      </c>
      <c r="AB103" s="361">
        <v>1</v>
      </c>
      <c r="AC103" s="361">
        <v>1</v>
      </c>
      <c r="AD103" s="361">
        <v>1</v>
      </c>
      <c r="AE103" s="361">
        <v>1</v>
      </c>
      <c r="AF103" s="361">
        <v>0</v>
      </c>
      <c r="AG103" s="361">
        <v>0</v>
      </c>
      <c r="AH103" s="361">
        <v>0</v>
      </c>
      <c r="AI103" s="361">
        <v>0</v>
      </c>
      <c r="AJ103" s="361">
        <v>0</v>
      </c>
      <c r="AK103" s="363">
        <v>0</v>
      </c>
      <c r="AL103" s="110"/>
    </row>
    <row r="104" spans="8:38">
      <c r="H104" s="372"/>
      <c r="I104" s="364"/>
      <c r="J104" s="365"/>
      <c r="K104" s="366" t="s">
        <v>749</v>
      </c>
      <c r="L104" s="366"/>
      <c r="M104" s="366"/>
      <c r="N104" s="364">
        <v>0</v>
      </c>
      <c r="O104" s="365">
        <v>0</v>
      </c>
      <c r="P104" s="365">
        <v>0</v>
      </c>
      <c r="Q104" s="365">
        <v>0</v>
      </c>
      <c r="R104" s="365">
        <v>0</v>
      </c>
      <c r="S104" s="365">
        <v>0</v>
      </c>
      <c r="T104" s="365">
        <v>0</v>
      </c>
      <c r="U104" s="365">
        <v>0</v>
      </c>
      <c r="V104" s="365">
        <v>0</v>
      </c>
      <c r="W104" s="365">
        <v>0</v>
      </c>
      <c r="X104" s="365">
        <v>0</v>
      </c>
      <c r="Y104" s="365">
        <v>0</v>
      </c>
      <c r="Z104" s="365">
        <v>0</v>
      </c>
      <c r="AA104" s="365">
        <v>0</v>
      </c>
      <c r="AB104" s="365">
        <v>0</v>
      </c>
      <c r="AC104" s="365">
        <v>0</v>
      </c>
      <c r="AD104" s="365">
        <v>0</v>
      </c>
      <c r="AE104" s="365">
        <v>0</v>
      </c>
      <c r="AF104" s="365">
        <v>0</v>
      </c>
      <c r="AG104" s="365">
        <v>0</v>
      </c>
      <c r="AH104" s="365">
        <v>0</v>
      </c>
      <c r="AI104" s="365">
        <v>0</v>
      </c>
      <c r="AJ104" s="365">
        <v>0</v>
      </c>
      <c r="AK104" s="367">
        <v>0</v>
      </c>
      <c r="AL104" s="110"/>
    </row>
    <row r="105" spans="8:38">
      <c r="H105" s="372"/>
      <c r="I105" s="360" t="s">
        <v>752</v>
      </c>
      <c r="J105" s="361" t="s">
        <v>746</v>
      </c>
      <c r="K105" s="362" t="s">
        <v>747</v>
      </c>
      <c r="L105" s="362"/>
      <c r="M105" s="362"/>
      <c r="N105" s="1190">
        <v>0.05</v>
      </c>
      <c r="O105" s="354">
        <v>0.05</v>
      </c>
      <c r="P105" s="354">
        <v>0.05</v>
      </c>
      <c r="Q105" s="354">
        <v>0.05</v>
      </c>
      <c r="R105" s="354">
        <v>0.05</v>
      </c>
      <c r="S105" s="354">
        <v>0.08</v>
      </c>
      <c r="T105" s="354">
        <v>7.0000000000000007E-2</v>
      </c>
      <c r="U105" s="354">
        <v>0.19</v>
      </c>
      <c r="V105" s="354">
        <v>0.35</v>
      </c>
      <c r="W105" s="354">
        <v>0.38</v>
      </c>
      <c r="X105" s="354">
        <v>0.39</v>
      </c>
      <c r="Y105" s="354">
        <v>0.47</v>
      </c>
      <c r="Z105" s="354">
        <v>0.56999999999999995</v>
      </c>
      <c r="AA105" s="354">
        <v>0.54</v>
      </c>
      <c r="AB105" s="354">
        <v>0.34</v>
      </c>
      <c r="AC105" s="354">
        <v>0.33</v>
      </c>
      <c r="AD105" s="354">
        <v>0.44</v>
      </c>
      <c r="AE105" s="354">
        <v>0.26</v>
      </c>
      <c r="AF105" s="354">
        <v>0.21</v>
      </c>
      <c r="AG105" s="354">
        <v>0.15</v>
      </c>
      <c r="AH105" s="354">
        <v>0.17</v>
      </c>
      <c r="AI105" s="354">
        <v>0.08</v>
      </c>
      <c r="AJ105" s="354">
        <v>0.05</v>
      </c>
      <c r="AK105" s="369">
        <v>0.05</v>
      </c>
      <c r="AL105" s="110"/>
    </row>
    <row r="106" spans="8:38">
      <c r="H106" s="372"/>
      <c r="I106" s="360"/>
      <c r="J106" s="361"/>
      <c r="K106" s="362" t="s">
        <v>748</v>
      </c>
      <c r="L106" s="362"/>
      <c r="M106" s="362"/>
      <c r="N106" s="360">
        <v>0.05</v>
      </c>
      <c r="O106" s="361">
        <v>0.05</v>
      </c>
      <c r="P106" s="361">
        <v>0.05</v>
      </c>
      <c r="Q106" s="361">
        <v>0.05</v>
      </c>
      <c r="R106" s="361">
        <v>0.05</v>
      </c>
      <c r="S106" s="361">
        <v>0.08</v>
      </c>
      <c r="T106" s="361">
        <v>7.0000000000000007E-2</v>
      </c>
      <c r="U106" s="361">
        <v>0.11</v>
      </c>
      <c r="V106" s="361">
        <v>0.15</v>
      </c>
      <c r="W106" s="361">
        <v>0.21</v>
      </c>
      <c r="X106" s="361">
        <v>0.19</v>
      </c>
      <c r="Y106" s="361">
        <v>0.23</v>
      </c>
      <c r="Z106" s="361">
        <v>0.2</v>
      </c>
      <c r="AA106" s="110">
        <v>0.19</v>
      </c>
      <c r="AB106" s="361">
        <v>0.15</v>
      </c>
      <c r="AC106" s="361">
        <v>0.12</v>
      </c>
      <c r="AD106" s="361">
        <v>0.14000000000000001</v>
      </c>
      <c r="AE106" s="361">
        <v>7.0000000000000007E-2</v>
      </c>
      <c r="AF106" s="361">
        <v>0.90700000000000003</v>
      </c>
      <c r="AG106" s="361">
        <v>7.0000000000000007E-2</v>
      </c>
      <c r="AH106" s="361">
        <v>7.0000000000000007E-2</v>
      </c>
      <c r="AI106" s="361">
        <v>0.09</v>
      </c>
      <c r="AJ106" s="361">
        <v>0.05</v>
      </c>
      <c r="AK106" s="370">
        <v>0.05</v>
      </c>
      <c r="AL106" s="110"/>
    </row>
    <row r="107" spans="8:38">
      <c r="H107" s="372"/>
      <c r="I107" s="364"/>
      <c r="J107" s="365"/>
      <c r="K107" s="366" t="s">
        <v>749</v>
      </c>
      <c r="L107" s="366"/>
      <c r="M107" s="366"/>
      <c r="N107" s="364">
        <v>0.04</v>
      </c>
      <c r="O107" s="365">
        <v>0.04</v>
      </c>
      <c r="P107" s="365">
        <v>0.04</v>
      </c>
      <c r="Q107" s="365">
        <v>0.04</v>
      </c>
      <c r="R107" s="365">
        <v>0.04</v>
      </c>
      <c r="S107" s="365">
        <v>7.0000000000000007E-2</v>
      </c>
      <c r="T107" s="365">
        <v>0.04</v>
      </c>
      <c r="U107" s="365">
        <v>0.04</v>
      </c>
      <c r="V107" s="365">
        <v>0.04</v>
      </c>
      <c r="W107" s="365">
        <v>0.04</v>
      </c>
      <c r="X107" s="365">
        <v>0.04</v>
      </c>
      <c r="Y107" s="365">
        <v>0.06</v>
      </c>
      <c r="Z107" s="365">
        <v>0.06</v>
      </c>
      <c r="AA107" s="365">
        <v>0.09</v>
      </c>
      <c r="AB107" s="365">
        <v>0.06</v>
      </c>
      <c r="AC107" s="365">
        <v>0.04</v>
      </c>
      <c r="AD107" s="365">
        <v>0.04</v>
      </c>
      <c r="AE107" s="365">
        <v>0.04</v>
      </c>
      <c r="AF107" s="365">
        <v>0.04</v>
      </c>
      <c r="AG107" s="365">
        <v>0.04</v>
      </c>
      <c r="AH107" s="365">
        <v>0.04</v>
      </c>
      <c r="AI107" s="365">
        <v>7.0000000000000007E-2</v>
      </c>
      <c r="AJ107" s="365">
        <v>0.04</v>
      </c>
      <c r="AK107" s="367">
        <v>0.04</v>
      </c>
      <c r="AL107" s="110"/>
    </row>
    <row r="108" spans="8:38">
      <c r="H108" s="372"/>
      <c r="I108" s="360" t="s">
        <v>753</v>
      </c>
      <c r="J108" s="361" t="s">
        <v>746</v>
      </c>
      <c r="K108" s="362" t="s">
        <v>747</v>
      </c>
      <c r="L108" s="362"/>
      <c r="M108" s="362"/>
      <c r="N108" s="1190">
        <v>0.05</v>
      </c>
      <c r="O108" s="354">
        <v>0.05</v>
      </c>
      <c r="P108" s="354">
        <v>0.05</v>
      </c>
      <c r="Q108" s="354">
        <v>0.05</v>
      </c>
      <c r="R108" s="354">
        <v>0.05</v>
      </c>
      <c r="S108" s="357">
        <v>0.1</v>
      </c>
      <c r="T108" s="358">
        <v>0.1</v>
      </c>
      <c r="U108" s="358">
        <v>0.3</v>
      </c>
      <c r="V108" s="358">
        <v>0.9</v>
      </c>
      <c r="W108" s="358">
        <v>0.9</v>
      </c>
      <c r="X108" s="358">
        <v>0.9</v>
      </c>
      <c r="Y108" s="358">
        <v>0.9</v>
      </c>
      <c r="Z108" s="358">
        <v>0.8</v>
      </c>
      <c r="AA108" s="357">
        <v>0.9</v>
      </c>
      <c r="AB108" s="358">
        <v>0.9</v>
      </c>
      <c r="AC108" s="358">
        <v>0.9</v>
      </c>
      <c r="AD108" s="358">
        <v>0.9</v>
      </c>
      <c r="AE108" s="358">
        <v>0.5</v>
      </c>
      <c r="AF108" s="358">
        <v>0.3</v>
      </c>
      <c r="AG108" s="358">
        <v>0.3</v>
      </c>
      <c r="AH108" s="358">
        <v>0.2</v>
      </c>
      <c r="AI108" s="358">
        <v>0.2</v>
      </c>
      <c r="AJ108" s="358">
        <v>0.1</v>
      </c>
      <c r="AK108" s="359">
        <v>0.05</v>
      </c>
      <c r="AL108" s="110"/>
    </row>
    <row r="109" spans="8:38">
      <c r="H109" s="372"/>
      <c r="I109" s="360"/>
      <c r="J109" s="361"/>
      <c r="K109" s="362" t="s">
        <v>748</v>
      </c>
      <c r="L109" s="362"/>
      <c r="M109" s="362"/>
      <c r="N109" s="360">
        <v>0.05</v>
      </c>
      <c r="O109" s="361">
        <v>0.05</v>
      </c>
      <c r="P109" s="361">
        <v>0.05</v>
      </c>
      <c r="Q109" s="361">
        <v>0.05</v>
      </c>
      <c r="R109" s="361">
        <v>0.05</v>
      </c>
      <c r="S109" s="361">
        <v>0.05</v>
      </c>
      <c r="T109" s="11">
        <v>0.1</v>
      </c>
      <c r="U109" s="11">
        <v>0.1</v>
      </c>
      <c r="V109" s="11">
        <v>0.3</v>
      </c>
      <c r="W109" s="11">
        <v>0.3</v>
      </c>
      <c r="X109" s="11">
        <v>0.3</v>
      </c>
      <c r="Y109" s="11">
        <v>0.3</v>
      </c>
      <c r="Z109" s="11">
        <v>0.15</v>
      </c>
      <c r="AA109" s="110">
        <v>0.15</v>
      </c>
      <c r="AB109" s="11">
        <v>0.15</v>
      </c>
      <c r="AC109" s="361">
        <v>0.15</v>
      </c>
      <c r="AD109" s="11">
        <v>0.15</v>
      </c>
      <c r="AE109" s="361">
        <v>0.05</v>
      </c>
      <c r="AF109" s="361">
        <v>0.05</v>
      </c>
      <c r="AG109" s="361">
        <v>0.05</v>
      </c>
      <c r="AH109" s="361">
        <v>0.05</v>
      </c>
      <c r="AI109" s="361">
        <v>0.05</v>
      </c>
      <c r="AJ109" s="361">
        <v>0.05</v>
      </c>
      <c r="AK109" s="363">
        <v>0.05</v>
      </c>
      <c r="AL109" s="110"/>
    </row>
    <row r="110" spans="8:38">
      <c r="I110" s="364"/>
      <c r="J110" s="365"/>
      <c r="K110" s="366" t="s">
        <v>749</v>
      </c>
      <c r="L110" s="366"/>
      <c r="M110" s="366"/>
      <c r="N110" s="364">
        <v>0.05</v>
      </c>
      <c r="O110" s="365">
        <v>0.05</v>
      </c>
      <c r="P110" s="365">
        <v>0.05</v>
      </c>
      <c r="Q110" s="365">
        <v>0.05</v>
      </c>
      <c r="R110" s="365">
        <v>0.05</v>
      </c>
      <c r="S110" s="365">
        <v>0.05</v>
      </c>
      <c r="T110" s="365">
        <v>0.05</v>
      </c>
      <c r="U110" s="365">
        <v>0.05</v>
      </c>
      <c r="V110" s="365">
        <v>0.05</v>
      </c>
      <c r="W110" s="365">
        <v>0.05</v>
      </c>
      <c r="X110" s="365">
        <v>0.05</v>
      </c>
      <c r="Y110" s="365">
        <v>0.05</v>
      </c>
      <c r="Z110" s="365">
        <v>0.05</v>
      </c>
      <c r="AA110" s="365">
        <v>0.05</v>
      </c>
      <c r="AB110" s="365">
        <v>0.05</v>
      </c>
      <c r="AC110" s="365">
        <v>0.05</v>
      </c>
      <c r="AD110" s="365">
        <v>0.05</v>
      </c>
      <c r="AE110" s="365">
        <v>0.05</v>
      </c>
      <c r="AF110" s="365">
        <v>0.05</v>
      </c>
      <c r="AG110" s="365">
        <v>0.05</v>
      </c>
      <c r="AH110" s="365">
        <v>0.05</v>
      </c>
      <c r="AI110" s="365">
        <v>0.05</v>
      </c>
      <c r="AJ110" s="365">
        <v>0.05</v>
      </c>
      <c r="AK110" s="367">
        <v>0.05</v>
      </c>
      <c r="AL110" s="110"/>
    </row>
    <row r="111" spans="8:38">
      <c r="I111" s="410" t="s">
        <v>754</v>
      </c>
      <c r="O111" s="103" t="s">
        <v>690</v>
      </c>
      <c r="AA111" s="106"/>
    </row>
    <row r="112" spans="8:38">
      <c r="I112" s="35" t="s">
        <v>755</v>
      </c>
      <c r="O112" s="103" t="s">
        <v>690</v>
      </c>
      <c r="P112" s="103">
        <v>12.95</v>
      </c>
      <c r="S112" s="103" t="s">
        <v>756</v>
      </c>
      <c r="T112" s="34"/>
      <c r="U112" s="34"/>
      <c r="V112" s="34"/>
      <c r="W112" s="34"/>
      <c r="X112" s="34"/>
      <c r="Y112" s="34"/>
      <c r="AA112" s="106"/>
    </row>
    <row r="113" spans="9:37">
      <c r="I113" s="278" t="s">
        <v>757</v>
      </c>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row>
    <row r="114" spans="9:37">
      <c r="I114" s="39" t="s">
        <v>758</v>
      </c>
      <c r="J114" s="39"/>
      <c r="K114" s="39" t="s">
        <v>759</v>
      </c>
      <c r="L114" s="39"/>
      <c r="M114" s="39"/>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row>
    <row r="115" spans="9:37">
      <c r="I115" s="106"/>
      <c r="J115" s="106"/>
      <c r="K115" s="106"/>
      <c r="L115" s="106"/>
      <c r="M115" s="106"/>
      <c r="N115" s="1191"/>
      <c r="O115" s="1192"/>
      <c r="P115" s="1192"/>
      <c r="Q115" s="1192"/>
      <c r="R115" s="1192"/>
      <c r="S115" s="1192"/>
      <c r="T115" s="1192"/>
      <c r="U115" s="1192"/>
      <c r="V115" s="1192"/>
      <c r="W115" s="1192"/>
      <c r="X115" s="1192"/>
      <c r="Y115" s="1193" t="s">
        <v>742</v>
      </c>
      <c r="Z115" s="1193"/>
      <c r="AA115" s="1192"/>
      <c r="AB115" s="1192"/>
      <c r="AC115" s="1192"/>
      <c r="AD115" s="1192"/>
      <c r="AE115" s="1192"/>
      <c r="AF115" s="1192"/>
      <c r="AG115" s="1192"/>
      <c r="AH115" s="1192"/>
      <c r="AI115" s="1192"/>
      <c r="AJ115" s="1192"/>
      <c r="AK115" s="1194"/>
    </row>
    <row r="116" spans="9:37">
      <c r="I116" s="1195" t="s">
        <v>335</v>
      </c>
      <c r="J116" s="1196"/>
      <c r="K116" s="1197" t="s">
        <v>744</v>
      </c>
      <c r="L116" s="1197"/>
      <c r="M116" s="1197"/>
      <c r="N116" s="1198">
        <v>1</v>
      </c>
      <c r="O116" s="1198">
        <v>2</v>
      </c>
      <c r="P116" s="1198">
        <v>3</v>
      </c>
      <c r="Q116" s="1198">
        <v>4</v>
      </c>
      <c r="R116" s="1198">
        <v>5</v>
      </c>
      <c r="S116" s="1198">
        <v>6</v>
      </c>
      <c r="T116" s="1198">
        <v>7</v>
      </c>
      <c r="U116" s="1198">
        <v>8</v>
      </c>
      <c r="V116" s="1198">
        <v>9</v>
      </c>
      <c r="W116" s="1198">
        <v>10</v>
      </c>
      <c r="X116" s="1198">
        <v>11</v>
      </c>
      <c r="Y116" s="1198">
        <v>12</v>
      </c>
      <c r="Z116" s="1198">
        <v>13</v>
      </c>
      <c r="AA116" s="1198">
        <v>14</v>
      </c>
      <c r="AB116" s="1198">
        <v>15</v>
      </c>
      <c r="AC116" s="1198">
        <v>16</v>
      </c>
      <c r="AD116" s="1198">
        <v>17</v>
      </c>
      <c r="AE116" s="1198">
        <v>18</v>
      </c>
      <c r="AF116" s="1198">
        <v>19</v>
      </c>
      <c r="AG116" s="1198">
        <v>20</v>
      </c>
      <c r="AH116" s="1198">
        <v>21</v>
      </c>
      <c r="AI116" s="1198">
        <v>22</v>
      </c>
      <c r="AJ116" s="1198">
        <v>23</v>
      </c>
      <c r="AK116" s="1198">
        <v>24</v>
      </c>
    </row>
    <row r="117" spans="9:37">
      <c r="I117" s="322" t="s">
        <v>760</v>
      </c>
      <c r="J117" s="323" t="s">
        <v>746</v>
      </c>
      <c r="K117" s="324" t="s">
        <v>747</v>
      </c>
      <c r="L117" s="324"/>
      <c r="M117" s="324"/>
      <c r="N117" s="1199">
        <v>0</v>
      </c>
      <c r="O117" s="325">
        <v>0</v>
      </c>
      <c r="P117" s="325">
        <v>0</v>
      </c>
      <c r="Q117" s="325">
        <v>0</v>
      </c>
      <c r="R117" s="325">
        <v>0</v>
      </c>
      <c r="S117" s="325">
        <v>0</v>
      </c>
      <c r="T117" s="325">
        <v>0.1</v>
      </c>
      <c r="U117" s="325">
        <v>0.2</v>
      </c>
      <c r="V117" s="325">
        <v>0.95</v>
      </c>
      <c r="W117" s="325">
        <v>0.95</v>
      </c>
      <c r="X117" s="325">
        <v>0.95</v>
      </c>
      <c r="Y117" s="325">
        <v>0.95</v>
      </c>
      <c r="Z117" s="325">
        <v>0.5</v>
      </c>
      <c r="AA117" s="325">
        <v>0.95</v>
      </c>
      <c r="AB117" s="325">
        <v>0.95</v>
      </c>
      <c r="AC117" s="325">
        <v>0.95</v>
      </c>
      <c r="AD117" s="325">
        <v>0.95</v>
      </c>
      <c r="AE117" s="325">
        <v>0.3</v>
      </c>
      <c r="AF117" s="325">
        <v>0.1</v>
      </c>
      <c r="AG117" s="325">
        <v>0.1</v>
      </c>
      <c r="AH117" s="325">
        <v>0.1</v>
      </c>
      <c r="AI117" s="325">
        <v>0.1</v>
      </c>
      <c r="AJ117" s="325">
        <v>0.05</v>
      </c>
      <c r="AK117" s="326">
        <v>0.05</v>
      </c>
    </row>
    <row r="118" spans="9:37">
      <c r="I118" s="322"/>
      <c r="J118" s="323"/>
      <c r="K118" s="324" t="s">
        <v>748</v>
      </c>
      <c r="L118" s="324"/>
      <c r="M118" s="324"/>
      <c r="N118" s="327">
        <v>0</v>
      </c>
      <c r="O118" s="328">
        <v>0</v>
      </c>
      <c r="P118" s="328">
        <v>0</v>
      </c>
      <c r="Q118" s="328">
        <v>0</v>
      </c>
      <c r="R118" s="328">
        <v>0</v>
      </c>
      <c r="S118" s="328">
        <v>0</v>
      </c>
      <c r="T118" s="328">
        <v>0.1</v>
      </c>
      <c r="U118" s="328">
        <v>0.1</v>
      </c>
      <c r="V118" s="328">
        <v>0.3</v>
      </c>
      <c r="W118" s="328">
        <v>0.3</v>
      </c>
      <c r="X118" s="328">
        <v>0.3</v>
      </c>
      <c r="Y118" s="328">
        <v>0.3</v>
      </c>
      <c r="Z118" s="328">
        <v>0.1</v>
      </c>
      <c r="AA118" s="584">
        <v>0.1</v>
      </c>
      <c r="AB118" s="328">
        <v>0.1</v>
      </c>
      <c r="AC118" s="328">
        <v>0.1</v>
      </c>
      <c r="AD118" s="328">
        <v>0.1</v>
      </c>
      <c r="AE118" s="328">
        <v>0.05</v>
      </c>
      <c r="AF118" s="328">
        <v>0.05</v>
      </c>
      <c r="AG118" s="328">
        <v>0</v>
      </c>
      <c r="AH118" s="328">
        <v>0</v>
      </c>
      <c r="AI118" s="328">
        <v>0</v>
      </c>
      <c r="AJ118" s="328">
        <v>0</v>
      </c>
      <c r="AK118" s="329">
        <v>0</v>
      </c>
    </row>
    <row r="119" spans="9:37">
      <c r="I119" s="322"/>
      <c r="J119" s="323"/>
      <c r="K119" s="324" t="s">
        <v>749</v>
      </c>
      <c r="L119" s="324"/>
      <c r="M119" s="324"/>
      <c r="N119" s="330">
        <v>0</v>
      </c>
      <c r="O119" s="331">
        <v>0</v>
      </c>
      <c r="P119" s="331">
        <v>0</v>
      </c>
      <c r="Q119" s="331">
        <v>0</v>
      </c>
      <c r="R119" s="331">
        <v>0</v>
      </c>
      <c r="S119" s="331">
        <v>0</v>
      </c>
      <c r="T119" s="331">
        <v>0.05</v>
      </c>
      <c r="U119" s="331">
        <v>0.05</v>
      </c>
      <c r="V119" s="331">
        <v>0.05</v>
      </c>
      <c r="W119" s="331">
        <v>0.05</v>
      </c>
      <c r="X119" s="331">
        <v>0.05</v>
      </c>
      <c r="Y119" s="331">
        <v>0.05</v>
      </c>
      <c r="Z119" s="331">
        <v>0.05</v>
      </c>
      <c r="AA119" s="331">
        <v>0.05</v>
      </c>
      <c r="AB119" s="331">
        <v>0.05</v>
      </c>
      <c r="AC119" s="331">
        <v>0.05</v>
      </c>
      <c r="AD119" s="331">
        <v>0.05</v>
      </c>
      <c r="AE119" s="331">
        <v>0.05</v>
      </c>
      <c r="AF119" s="331">
        <v>0</v>
      </c>
      <c r="AG119" s="331">
        <v>0</v>
      </c>
      <c r="AH119" s="331">
        <v>0</v>
      </c>
      <c r="AI119" s="331">
        <v>0</v>
      </c>
      <c r="AJ119" s="331">
        <v>0</v>
      </c>
      <c r="AK119" s="332">
        <v>0</v>
      </c>
    </row>
    <row r="120" spans="9:37">
      <c r="I120" s="1200" t="s">
        <v>761</v>
      </c>
      <c r="J120" s="333" t="s">
        <v>746</v>
      </c>
      <c r="K120" s="334" t="s">
        <v>747</v>
      </c>
      <c r="L120" s="334"/>
      <c r="M120" s="334"/>
      <c r="N120" s="1199">
        <v>0.05</v>
      </c>
      <c r="O120" s="325">
        <v>0.05</v>
      </c>
      <c r="P120" s="325">
        <v>0.05</v>
      </c>
      <c r="Q120" s="325">
        <v>0.05</v>
      </c>
      <c r="R120" s="325">
        <v>0.05</v>
      </c>
      <c r="S120" s="325">
        <v>0.1</v>
      </c>
      <c r="T120" s="325">
        <v>0.1</v>
      </c>
      <c r="U120" s="325">
        <v>0.3</v>
      </c>
      <c r="V120" s="325">
        <v>0.65</v>
      </c>
      <c r="W120" s="325">
        <v>0.65</v>
      </c>
      <c r="X120" s="325">
        <v>0.65</v>
      </c>
      <c r="Y120" s="325">
        <v>0.65</v>
      </c>
      <c r="Z120" s="325">
        <v>0.65</v>
      </c>
      <c r="AA120" s="325">
        <v>0.65</v>
      </c>
      <c r="AB120" s="325">
        <v>0.65</v>
      </c>
      <c r="AC120" s="325">
        <v>0.65</v>
      </c>
      <c r="AD120" s="325">
        <v>0.65</v>
      </c>
      <c r="AE120" s="325">
        <v>0.35</v>
      </c>
      <c r="AF120" s="325">
        <v>0.3</v>
      </c>
      <c r="AG120" s="325">
        <v>0.3</v>
      </c>
      <c r="AH120" s="325">
        <v>0.2</v>
      </c>
      <c r="AI120" s="325">
        <v>0.2</v>
      </c>
      <c r="AJ120" s="325">
        <v>0.1</v>
      </c>
      <c r="AK120" s="326">
        <v>0.05</v>
      </c>
    </row>
    <row r="121" spans="9:37">
      <c r="I121" s="322"/>
      <c r="J121" s="323"/>
      <c r="K121" s="324" t="s">
        <v>748</v>
      </c>
      <c r="L121" s="324"/>
      <c r="M121" s="324"/>
      <c r="N121" s="327">
        <v>0.05</v>
      </c>
      <c r="O121" s="328">
        <v>0.05</v>
      </c>
      <c r="P121" s="328">
        <v>0.05</v>
      </c>
      <c r="Q121" s="328">
        <v>0.05</v>
      </c>
      <c r="R121" s="328">
        <v>0.05</v>
      </c>
      <c r="S121" s="328">
        <v>0.05</v>
      </c>
      <c r="T121" s="328">
        <v>0.1</v>
      </c>
      <c r="U121" s="328">
        <v>0.1</v>
      </c>
      <c r="V121" s="328">
        <v>0.3</v>
      </c>
      <c r="W121" s="328">
        <v>0.3</v>
      </c>
      <c r="X121" s="328">
        <v>0.3</v>
      </c>
      <c r="Y121" s="328">
        <v>0.3</v>
      </c>
      <c r="Z121" s="328">
        <v>0.15</v>
      </c>
      <c r="AA121" s="584">
        <v>0.15</v>
      </c>
      <c r="AB121" s="328">
        <v>0.15</v>
      </c>
      <c r="AC121" s="328">
        <v>0.15</v>
      </c>
      <c r="AD121" s="328">
        <v>0.15</v>
      </c>
      <c r="AE121" s="328">
        <v>0.05</v>
      </c>
      <c r="AF121" s="328">
        <v>0.05</v>
      </c>
      <c r="AG121" s="328">
        <v>0.05</v>
      </c>
      <c r="AH121" s="328">
        <v>0.05</v>
      </c>
      <c r="AI121" s="328">
        <v>0.05</v>
      </c>
      <c r="AJ121" s="328">
        <v>0.05</v>
      </c>
      <c r="AK121" s="329">
        <v>0.05</v>
      </c>
    </row>
    <row r="122" spans="9:37">
      <c r="I122" s="335"/>
      <c r="J122" s="336"/>
      <c r="K122" s="337" t="s">
        <v>749</v>
      </c>
      <c r="L122" s="337"/>
      <c r="M122" s="337"/>
      <c r="N122" s="330">
        <v>0.05</v>
      </c>
      <c r="O122" s="331">
        <v>0.05</v>
      </c>
      <c r="P122" s="331">
        <v>0.05</v>
      </c>
      <c r="Q122" s="331">
        <v>0.05</v>
      </c>
      <c r="R122" s="331">
        <v>0.05</v>
      </c>
      <c r="S122" s="331">
        <v>0.05</v>
      </c>
      <c r="T122" s="331">
        <v>0.05</v>
      </c>
      <c r="U122" s="331">
        <v>0.05</v>
      </c>
      <c r="V122" s="331">
        <v>0.05</v>
      </c>
      <c r="W122" s="331">
        <v>0.05</v>
      </c>
      <c r="X122" s="331">
        <v>0.05</v>
      </c>
      <c r="Y122" s="331">
        <v>0.05</v>
      </c>
      <c r="Z122" s="331">
        <v>0.05</v>
      </c>
      <c r="AA122" s="331">
        <v>0.05</v>
      </c>
      <c r="AB122" s="331">
        <v>0.05</v>
      </c>
      <c r="AC122" s="331">
        <v>0.05</v>
      </c>
      <c r="AD122" s="331">
        <v>0.05</v>
      </c>
      <c r="AE122" s="331">
        <v>0.05</v>
      </c>
      <c r="AF122" s="331">
        <v>0.05</v>
      </c>
      <c r="AG122" s="331">
        <v>0.05</v>
      </c>
      <c r="AH122" s="331">
        <v>0.05</v>
      </c>
      <c r="AI122" s="331">
        <v>0.05</v>
      </c>
      <c r="AJ122" s="331">
        <v>0.05</v>
      </c>
      <c r="AK122" s="332">
        <v>0.05</v>
      </c>
    </row>
    <row r="123" spans="9:37">
      <c r="I123" s="322" t="s">
        <v>762</v>
      </c>
      <c r="J123" s="333" t="s">
        <v>746</v>
      </c>
      <c r="K123" s="324" t="s">
        <v>747</v>
      </c>
      <c r="L123" s="324"/>
      <c r="M123" s="324"/>
      <c r="N123" s="1199">
        <v>0.05</v>
      </c>
      <c r="O123" s="325">
        <v>0.05</v>
      </c>
      <c r="P123" s="325">
        <v>0.05</v>
      </c>
      <c r="Q123" s="325">
        <v>0.05</v>
      </c>
      <c r="R123" s="325">
        <v>0.05</v>
      </c>
      <c r="S123" s="325">
        <v>0.1</v>
      </c>
      <c r="T123" s="325">
        <v>0.1</v>
      </c>
      <c r="U123" s="325">
        <v>0.3</v>
      </c>
      <c r="V123" s="325">
        <v>0.9</v>
      </c>
      <c r="W123" s="325">
        <v>0.9</v>
      </c>
      <c r="X123" s="325">
        <v>0.9</v>
      </c>
      <c r="Y123" s="325">
        <v>0.9</v>
      </c>
      <c r="Z123" s="325">
        <v>0.9</v>
      </c>
      <c r="AA123" s="325">
        <v>0.9</v>
      </c>
      <c r="AB123" s="325">
        <v>0.9</v>
      </c>
      <c r="AC123" s="325">
        <v>0.9</v>
      </c>
      <c r="AD123" s="325">
        <v>0.9</v>
      </c>
      <c r="AE123" s="325">
        <v>0.5</v>
      </c>
      <c r="AF123" s="325">
        <v>0.3</v>
      </c>
      <c r="AG123" s="325">
        <v>0.3</v>
      </c>
      <c r="AH123" s="325">
        <v>0.2</v>
      </c>
      <c r="AI123" s="325">
        <v>0.2</v>
      </c>
      <c r="AJ123" s="325">
        <v>0.1</v>
      </c>
      <c r="AK123" s="326">
        <v>0.05</v>
      </c>
    </row>
    <row r="124" spans="9:37">
      <c r="I124" s="322"/>
      <c r="J124" s="323"/>
      <c r="K124" s="324" t="s">
        <v>748</v>
      </c>
      <c r="L124" s="324"/>
      <c r="M124" s="324"/>
      <c r="N124" s="327">
        <v>0.05</v>
      </c>
      <c r="O124" s="328">
        <v>0.05</v>
      </c>
      <c r="P124" s="328">
        <v>0.05</v>
      </c>
      <c r="Q124" s="328">
        <v>0.05</v>
      </c>
      <c r="R124" s="328">
        <v>0.05</v>
      </c>
      <c r="S124" s="328">
        <v>0.05</v>
      </c>
      <c r="T124" s="328">
        <v>0.1</v>
      </c>
      <c r="U124" s="328">
        <v>0.1</v>
      </c>
      <c r="V124" s="328">
        <v>0.3</v>
      </c>
      <c r="W124" s="328">
        <v>0.3</v>
      </c>
      <c r="X124" s="328">
        <v>0.3</v>
      </c>
      <c r="Y124" s="328">
        <v>0.3</v>
      </c>
      <c r="Z124" s="328">
        <v>0.15</v>
      </c>
      <c r="AA124" s="584">
        <v>0.15</v>
      </c>
      <c r="AB124" s="328">
        <v>0.15</v>
      </c>
      <c r="AC124" s="328">
        <v>0.15</v>
      </c>
      <c r="AD124" s="328">
        <v>0.15</v>
      </c>
      <c r="AE124" s="328">
        <v>0.05</v>
      </c>
      <c r="AF124" s="328">
        <v>0.05</v>
      </c>
      <c r="AG124" s="328">
        <v>0.05</v>
      </c>
      <c r="AH124" s="328">
        <v>0.05</v>
      </c>
      <c r="AI124" s="328">
        <v>0.05</v>
      </c>
      <c r="AJ124" s="328">
        <v>0.05</v>
      </c>
      <c r="AK124" s="329">
        <v>0.05</v>
      </c>
    </row>
    <row r="125" spans="9:37">
      <c r="I125" s="322"/>
      <c r="J125" s="323"/>
      <c r="K125" s="324" t="s">
        <v>749</v>
      </c>
      <c r="L125" s="324"/>
      <c r="M125" s="324"/>
      <c r="N125" s="330">
        <v>0.05</v>
      </c>
      <c r="O125" s="331">
        <v>0.05</v>
      </c>
      <c r="P125" s="331">
        <v>0.05</v>
      </c>
      <c r="Q125" s="331">
        <v>0.05</v>
      </c>
      <c r="R125" s="331">
        <v>0.05</v>
      </c>
      <c r="S125" s="331">
        <v>0.05</v>
      </c>
      <c r="T125" s="331">
        <v>0.05</v>
      </c>
      <c r="U125" s="331">
        <v>0.05</v>
      </c>
      <c r="V125" s="331">
        <v>0.05</v>
      </c>
      <c r="W125" s="331">
        <v>0.05</v>
      </c>
      <c r="X125" s="331">
        <v>0.05</v>
      </c>
      <c r="Y125" s="331">
        <v>0.05</v>
      </c>
      <c r="Z125" s="331">
        <v>0.05</v>
      </c>
      <c r="AA125" s="331">
        <v>0.05</v>
      </c>
      <c r="AB125" s="331">
        <v>0.05</v>
      </c>
      <c r="AC125" s="331">
        <v>0.05</v>
      </c>
      <c r="AD125" s="331">
        <v>0.05</v>
      </c>
      <c r="AE125" s="331">
        <v>0.05</v>
      </c>
      <c r="AF125" s="331">
        <v>0.05</v>
      </c>
      <c r="AG125" s="331">
        <v>0.05</v>
      </c>
      <c r="AH125" s="331">
        <v>0.05</v>
      </c>
      <c r="AI125" s="331">
        <v>0.05</v>
      </c>
      <c r="AJ125" s="331">
        <v>0.05</v>
      </c>
      <c r="AK125" s="332">
        <v>0.05</v>
      </c>
    </row>
    <row r="126" spans="9:37">
      <c r="I126" s="1200" t="s">
        <v>763</v>
      </c>
      <c r="J126" s="333" t="s">
        <v>751</v>
      </c>
      <c r="K126" s="334" t="s">
        <v>747</v>
      </c>
      <c r="L126" s="334"/>
      <c r="M126" s="334"/>
      <c r="N126" s="1201">
        <v>0</v>
      </c>
      <c r="O126" s="338">
        <v>0</v>
      </c>
      <c r="P126" s="338">
        <v>0</v>
      </c>
      <c r="Q126" s="338">
        <v>0</v>
      </c>
      <c r="R126" s="338">
        <v>0</v>
      </c>
      <c r="S126" s="338">
        <v>1</v>
      </c>
      <c r="T126" s="338">
        <v>1</v>
      </c>
      <c r="U126" s="338">
        <v>1</v>
      </c>
      <c r="V126" s="338">
        <v>1</v>
      </c>
      <c r="W126" s="338">
        <v>1</v>
      </c>
      <c r="X126" s="338">
        <v>1</v>
      </c>
      <c r="Y126" s="338">
        <v>1</v>
      </c>
      <c r="Z126" s="338">
        <v>1</v>
      </c>
      <c r="AA126" s="338">
        <v>1</v>
      </c>
      <c r="AB126" s="338">
        <v>1</v>
      </c>
      <c r="AC126" s="338">
        <v>1</v>
      </c>
      <c r="AD126" s="338">
        <v>1</v>
      </c>
      <c r="AE126" s="338">
        <v>1</v>
      </c>
      <c r="AF126" s="338">
        <v>1</v>
      </c>
      <c r="AG126" s="338">
        <v>1</v>
      </c>
      <c r="AH126" s="338">
        <v>1</v>
      </c>
      <c r="AI126" s="338">
        <v>1</v>
      </c>
      <c r="AJ126" s="338">
        <v>1</v>
      </c>
      <c r="AK126" s="339">
        <v>1</v>
      </c>
    </row>
    <row r="127" spans="9:37">
      <c r="I127" s="322"/>
      <c r="J127" s="323"/>
      <c r="K127" s="324" t="s">
        <v>748</v>
      </c>
      <c r="L127" s="324"/>
      <c r="M127" s="324"/>
      <c r="N127" s="340">
        <v>0</v>
      </c>
      <c r="O127" s="341">
        <v>0</v>
      </c>
      <c r="P127" s="341">
        <v>0</v>
      </c>
      <c r="Q127" s="341">
        <v>0</v>
      </c>
      <c r="R127" s="341">
        <v>0</v>
      </c>
      <c r="S127" s="341">
        <v>1</v>
      </c>
      <c r="T127" s="341">
        <v>1</v>
      </c>
      <c r="U127" s="341">
        <v>1</v>
      </c>
      <c r="V127" s="341">
        <v>1</v>
      </c>
      <c r="W127" s="341">
        <v>1</v>
      </c>
      <c r="X127" s="341">
        <v>1</v>
      </c>
      <c r="Y127" s="341">
        <v>1</v>
      </c>
      <c r="Z127" s="341">
        <v>1</v>
      </c>
      <c r="AA127" s="583">
        <v>1</v>
      </c>
      <c r="AB127" s="341">
        <v>1</v>
      </c>
      <c r="AC127" s="341">
        <v>1</v>
      </c>
      <c r="AD127" s="341">
        <v>1</v>
      </c>
      <c r="AE127" s="341">
        <v>1</v>
      </c>
      <c r="AF127" s="341">
        <v>1</v>
      </c>
      <c r="AG127" s="341">
        <v>0</v>
      </c>
      <c r="AH127" s="341">
        <v>0</v>
      </c>
      <c r="AI127" s="341">
        <v>0</v>
      </c>
      <c r="AJ127" s="341">
        <v>0</v>
      </c>
      <c r="AK127" s="342">
        <v>0</v>
      </c>
    </row>
    <row r="128" spans="9:37">
      <c r="I128" s="335"/>
      <c r="J128" s="336"/>
      <c r="K128" s="337" t="s">
        <v>749</v>
      </c>
      <c r="L128" s="337"/>
      <c r="M128" s="337"/>
      <c r="N128" s="343">
        <v>0</v>
      </c>
      <c r="O128" s="344">
        <v>0</v>
      </c>
      <c r="P128" s="344">
        <v>0</v>
      </c>
      <c r="Q128" s="344">
        <v>0</v>
      </c>
      <c r="R128" s="344">
        <v>0</v>
      </c>
      <c r="S128" s="344">
        <v>1</v>
      </c>
      <c r="T128" s="344">
        <v>1</v>
      </c>
      <c r="U128" s="344">
        <v>1</v>
      </c>
      <c r="V128" s="344">
        <v>1</v>
      </c>
      <c r="W128" s="344">
        <v>1</v>
      </c>
      <c r="X128" s="344">
        <v>1</v>
      </c>
      <c r="Y128" s="344">
        <v>1</v>
      </c>
      <c r="Z128" s="344">
        <v>1</v>
      </c>
      <c r="AA128" s="344">
        <v>1</v>
      </c>
      <c r="AB128" s="344">
        <v>1</v>
      </c>
      <c r="AC128" s="344">
        <v>1</v>
      </c>
      <c r="AD128" s="344">
        <v>1</v>
      </c>
      <c r="AE128" s="344">
        <v>1</v>
      </c>
      <c r="AF128" s="344">
        <v>0</v>
      </c>
      <c r="AG128" s="344">
        <v>0</v>
      </c>
      <c r="AH128" s="344">
        <v>0</v>
      </c>
      <c r="AI128" s="344">
        <v>0</v>
      </c>
      <c r="AJ128" s="344">
        <v>0</v>
      </c>
      <c r="AK128" s="345">
        <v>0</v>
      </c>
    </row>
    <row r="129" spans="9:37">
      <c r="I129" s="322" t="s">
        <v>764</v>
      </c>
      <c r="J129" s="333" t="s">
        <v>746</v>
      </c>
      <c r="K129" s="324" t="s">
        <v>747</v>
      </c>
      <c r="L129" s="324"/>
      <c r="M129" s="324"/>
      <c r="N129" s="1199">
        <v>0.05</v>
      </c>
      <c r="O129" s="325">
        <v>0.05</v>
      </c>
      <c r="P129" s="325">
        <v>0.05</v>
      </c>
      <c r="Q129" s="325">
        <v>0.05</v>
      </c>
      <c r="R129" s="325">
        <v>0.05</v>
      </c>
      <c r="S129" s="325">
        <v>0.08</v>
      </c>
      <c r="T129" s="325">
        <v>7.0000000000000007E-2</v>
      </c>
      <c r="U129" s="325">
        <v>0.19</v>
      </c>
      <c r="V129" s="325">
        <v>0.35</v>
      </c>
      <c r="W129" s="325">
        <v>0.38</v>
      </c>
      <c r="X129" s="325">
        <v>0.39</v>
      </c>
      <c r="Y129" s="325">
        <v>0.47</v>
      </c>
      <c r="Z129" s="325">
        <v>0.56999999999999995</v>
      </c>
      <c r="AA129" s="325">
        <v>0.54</v>
      </c>
      <c r="AB129" s="325">
        <v>0.34</v>
      </c>
      <c r="AC129" s="325">
        <v>0.33</v>
      </c>
      <c r="AD129" s="325">
        <v>0.44</v>
      </c>
      <c r="AE129" s="325">
        <v>0.26</v>
      </c>
      <c r="AF129" s="325">
        <v>0.21</v>
      </c>
      <c r="AG129" s="325">
        <v>0.15</v>
      </c>
      <c r="AH129" s="325">
        <v>0.17</v>
      </c>
      <c r="AI129" s="325">
        <v>0.08</v>
      </c>
      <c r="AJ129" s="325">
        <v>0.05</v>
      </c>
      <c r="AK129" s="326">
        <v>0.05</v>
      </c>
    </row>
    <row r="130" spans="9:37">
      <c r="I130" s="322"/>
      <c r="J130" s="323"/>
      <c r="K130" s="324" t="s">
        <v>748</v>
      </c>
      <c r="L130" s="324"/>
      <c r="M130" s="324"/>
      <c r="N130" s="327">
        <v>0.05</v>
      </c>
      <c r="O130" s="328">
        <v>0.05</v>
      </c>
      <c r="P130" s="328">
        <v>0.05</v>
      </c>
      <c r="Q130" s="328">
        <v>0.05</v>
      </c>
      <c r="R130" s="328">
        <v>0.05</v>
      </c>
      <c r="S130" s="328">
        <v>0.08</v>
      </c>
      <c r="T130" s="328">
        <v>7.0000000000000007E-2</v>
      </c>
      <c r="U130" s="328">
        <v>0.11</v>
      </c>
      <c r="V130" s="328">
        <v>0.15</v>
      </c>
      <c r="W130" s="328">
        <v>0.21</v>
      </c>
      <c r="X130" s="328">
        <v>0.19</v>
      </c>
      <c r="Y130" s="328">
        <v>0.23</v>
      </c>
      <c r="Z130" s="328">
        <v>0.2</v>
      </c>
      <c r="AA130" s="584">
        <v>0.19</v>
      </c>
      <c r="AB130" s="328">
        <v>0.15</v>
      </c>
      <c r="AC130" s="328">
        <v>0.12</v>
      </c>
      <c r="AD130" s="328">
        <v>0.14000000000000001</v>
      </c>
      <c r="AE130" s="328">
        <v>7.0000000000000007E-2</v>
      </c>
      <c r="AF130" s="328">
        <v>7.0000000000000007E-2</v>
      </c>
      <c r="AG130" s="328">
        <v>7.0000000000000007E-2</v>
      </c>
      <c r="AH130" s="328">
        <v>7.0000000000000007E-2</v>
      </c>
      <c r="AI130" s="328">
        <v>0.09</v>
      </c>
      <c r="AJ130" s="328">
        <v>0.05</v>
      </c>
      <c r="AK130" s="329">
        <v>0.05</v>
      </c>
    </row>
    <row r="131" spans="9:37">
      <c r="I131" s="322"/>
      <c r="J131" s="323"/>
      <c r="K131" s="324" t="s">
        <v>749</v>
      </c>
      <c r="L131" s="324"/>
      <c r="M131" s="324"/>
      <c r="N131" s="330">
        <v>0.04</v>
      </c>
      <c r="O131" s="331">
        <v>0.04</v>
      </c>
      <c r="P131" s="331">
        <v>0.04</v>
      </c>
      <c r="Q131" s="331">
        <v>0.04</v>
      </c>
      <c r="R131" s="331">
        <v>0.04</v>
      </c>
      <c r="S131" s="331">
        <v>7.0000000000000007E-2</v>
      </c>
      <c r="T131" s="331">
        <v>0.04</v>
      </c>
      <c r="U131" s="331">
        <v>0.04</v>
      </c>
      <c r="V131" s="331">
        <v>0.04</v>
      </c>
      <c r="W131" s="331">
        <v>0.04</v>
      </c>
      <c r="X131" s="331">
        <v>0.04</v>
      </c>
      <c r="Y131" s="331">
        <v>0.06</v>
      </c>
      <c r="Z131" s="331">
        <v>0.06</v>
      </c>
      <c r="AA131" s="331">
        <v>0.09</v>
      </c>
      <c r="AB131" s="331">
        <v>0.06</v>
      </c>
      <c r="AC131" s="331">
        <v>0.04</v>
      </c>
      <c r="AD131" s="331">
        <v>0.04</v>
      </c>
      <c r="AE131" s="331">
        <v>0.04</v>
      </c>
      <c r="AF131" s="331">
        <v>0.04</v>
      </c>
      <c r="AG131" s="331">
        <v>0.04</v>
      </c>
      <c r="AH131" s="331">
        <v>0.04</v>
      </c>
      <c r="AI131" s="331">
        <v>7.0000000000000007E-2</v>
      </c>
      <c r="AJ131" s="331">
        <v>0.04</v>
      </c>
      <c r="AK131" s="332">
        <v>0.04</v>
      </c>
    </row>
    <row r="132" spans="9:37">
      <c r="I132" s="1200" t="s">
        <v>765</v>
      </c>
      <c r="J132" s="333" t="s">
        <v>746</v>
      </c>
      <c r="K132" s="334" t="s">
        <v>747</v>
      </c>
      <c r="L132" s="334"/>
      <c r="M132" s="334"/>
      <c r="N132" s="1199">
        <v>0</v>
      </c>
      <c r="O132" s="325">
        <v>0</v>
      </c>
      <c r="P132" s="325">
        <v>0</v>
      </c>
      <c r="Q132" s="325">
        <v>0</v>
      </c>
      <c r="R132" s="325">
        <v>0</v>
      </c>
      <c r="S132" s="325">
        <v>0</v>
      </c>
      <c r="T132" s="325">
        <v>0</v>
      </c>
      <c r="U132" s="325">
        <v>0.35</v>
      </c>
      <c r="V132" s="325">
        <v>0.69</v>
      </c>
      <c r="W132" s="325">
        <v>0.43</v>
      </c>
      <c r="X132" s="325">
        <v>0.37</v>
      </c>
      <c r="Y132" s="325">
        <v>0.43</v>
      </c>
      <c r="Z132" s="325">
        <v>0.57999999999999996</v>
      </c>
      <c r="AA132" s="325">
        <v>0.48</v>
      </c>
      <c r="AB132" s="325">
        <v>0.37</v>
      </c>
      <c r="AC132" s="325">
        <v>0.37</v>
      </c>
      <c r="AD132" s="325">
        <v>0.46</v>
      </c>
      <c r="AE132" s="325">
        <v>0.62</v>
      </c>
      <c r="AF132" s="325">
        <v>0.2</v>
      </c>
      <c r="AG132" s="325">
        <v>0.12</v>
      </c>
      <c r="AH132" s="325">
        <v>0.04</v>
      </c>
      <c r="AI132" s="325">
        <v>0.04</v>
      </c>
      <c r="AJ132" s="325">
        <v>0</v>
      </c>
      <c r="AK132" s="326">
        <v>0</v>
      </c>
    </row>
    <row r="133" spans="9:37">
      <c r="I133" s="322"/>
      <c r="J133" s="323"/>
      <c r="K133" s="324" t="s">
        <v>748</v>
      </c>
      <c r="L133" s="324"/>
      <c r="M133" s="324"/>
      <c r="N133" s="327">
        <v>0</v>
      </c>
      <c r="O133" s="328">
        <v>0</v>
      </c>
      <c r="P133" s="328">
        <v>0</v>
      </c>
      <c r="Q133" s="328">
        <v>0</v>
      </c>
      <c r="R133" s="328">
        <v>0</v>
      </c>
      <c r="S133" s="328">
        <v>0</v>
      </c>
      <c r="T133" s="328">
        <v>0</v>
      </c>
      <c r="U133" s="328">
        <v>0.16</v>
      </c>
      <c r="V133" s="328">
        <v>0.14000000000000001</v>
      </c>
      <c r="W133" s="328">
        <v>0.21</v>
      </c>
      <c r="X133" s="328">
        <v>0.18</v>
      </c>
      <c r="Y133" s="328">
        <v>0.25</v>
      </c>
      <c r="Z133" s="328">
        <v>0.21</v>
      </c>
      <c r="AA133" s="584">
        <v>0.13</v>
      </c>
      <c r="AB133" s="328">
        <v>0.08</v>
      </c>
      <c r="AC133" s="328">
        <v>0.04</v>
      </c>
      <c r="AD133" s="328">
        <v>0.05</v>
      </c>
      <c r="AE133" s="328">
        <v>0.06</v>
      </c>
      <c r="AF133" s="328">
        <v>0</v>
      </c>
      <c r="AG133" s="328">
        <v>0</v>
      </c>
      <c r="AH133" s="328">
        <v>0</v>
      </c>
      <c r="AI133" s="328">
        <v>0</v>
      </c>
      <c r="AJ133" s="328">
        <v>0</v>
      </c>
      <c r="AK133" s="329">
        <v>0</v>
      </c>
    </row>
    <row r="134" spans="9:37">
      <c r="I134" s="335"/>
      <c r="J134" s="336"/>
      <c r="K134" s="337" t="s">
        <v>749</v>
      </c>
      <c r="L134" s="337"/>
      <c r="M134" s="337"/>
      <c r="N134" s="330">
        <v>0</v>
      </c>
      <c r="O134" s="331">
        <v>0</v>
      </c>
      <c r="P134" s="331">
        <v>0</v>
      </c>
      <c r="Q134" s="331">
        <v>0</v>
      </c>
      <c r="R134" s="331">
        <v>0</v>
      </c>
      <c r="S134" s="331">
        <v>0</v>
      </c>
      <c r="T134" s="331">
        <v>0</v>
      </c>
      <c r="U134" s="331">
        <v>0</v>
      </c>
      <c r="V134" s="331">
        <v>0</v>
      </c>
      <c r="W134" s="331">
        <v>0</v>
      </c>
      <c r="X134" s="331">
        <v>0</v>
      </c>
      <c r="Y134" s="331">
        <v>0</v>
      </c>
      <c r="Z134" s="331">
        <v>0</v>
      </c>
      <c r="AA134" s="331">
        <v>0</v>
      </c>
      <c r="AB134" s="331">
        <v>0</v>
      </c>
      <c r="AC134" s="331">
        <v>0</v>
      </c>
      <c r="AD134" s="331">
        <v>0</v>
      </c>
      <c r="AE134" s="331">
        <v>0</v>
      </c>
      <c r="AF134" s="331">
        <v>0</v>
      </c>
      <c r="AG134" s="331">
        <v>0</v>
      </c>
      <c r="AH134" s="331">
        <v>0</v>
      </c>
      <c r="AI134" s="331">
        <v>0</v>
      </c>
      <c r="AJ134" s="331">
        <v>0</v>
      </c>
      <c r="AK134" s="332">
        <v>0</v>
      </c>
    </row>
    <row r="135" spans="9:37">
      <c r="I135" s="1200" t="s">
        <v>766</v>
      </c>
      <c r="J135" s="333" t="s">
        <v>746</v>
      </c>
      <c r="K135" s="334" t="s">
        <v>747</v>
      </c>
      <c r="L135" s="334"/>
      <c r="M135" s="334"/>
      <c r="N135" s="1199">
        <v>0.9</v>
      </c>
      <c r="O135" s="325">
        <v>0.9</v>
      </c>
      <c r="P135" s="325">
        <v>0.9</v>
      </c>
      <c r="Q135" s="325">
        <v>0.9</v>
      </c>
      <c r="R135" s="325">
        <v>0.9</v>
      </c>
      <c r="S135" s="325">
        <v>0.9</v>
      </c>
      <c r="T135" s="325">
        <v>0.9</v>
      </c>
      <c r="U135" s="325">
        <v>0.9</v>
      </c>
      <c r="V135" s="325">
        <v>0.9</v>
      </c>
      <c r="W135" s="325">
        <v>0.9</v>
      </c>
      <c r="X135" s="325">
        <v>0.9</v>
      </c>
      <c r="Y135" s="325">
        <v>0.9</v>
      </c>
      <c r="Z135" s="325">
        <v>0.9</v>
      </c>
      <c r="AA135" s="325">
        <v>0.9</v>
      </c>
      <c r="AB135" s="325">
        <v>0.9</v>
      </c>
      <c r="AC135" s="325">
        <v>0.9</v>
      </c>
      <c r="AD135" s="325">
        <v>0.9</v>
      </c>
      <c r="AE135" s="325">
        <v>0.9</v>
      </c>
      <c r="AF135" s="325">
        <v>0.9</v>
      </c>
      <c r="AG135" s="325">
        <v>0.9</v>
      </c>
      <c r="AH135" s="325">
        <v>0.9</v>
      </c>
      <c r="AI135" s="325">
        <v>0.9</v>
      </c>
      <c r="AJ135" s="325">
        <v>0.9</v>
      </c>
      <c r="AK135" s="326">
        <v>0.9</v>
      </c>
    </row>
    <row r="136" spans="9:37">
      <c r="I136" s="322"/>
      <c r="J136" s="323"/>
      <c r="K136" s="324" t="s">
        <v>748</v>
      </c>
      <c r="L136" s="324"/>
      <c r="M136" s="324"/>
      <c r="N136" s="327">
        <v>0.9</v>
      </c>
      <c r="O136" s="328">
        <v>0.9</v>
      </c>
      <c r="P136" s="328">
        <v>0.9</v>
      </c>
      <c r="Q136" s="328">
        <v>0.9</v>
      </c>
      <c r="R136" s="328">
        <v>0.9</v>
      </c>
      <c r="S136" s="328">
        <v>0.9</v>
      </c>
      <c r="T136" s="328">
        <v>0.9</v>
      </c>
      <c r="U136" s="328">
        <v>0.9</v>
      </c>
      <c r="V136" s="328">
        <v>0.9</v>
      </c>
      <c r="W136" s="328">
        <v>0.9</v>
      </c>
      <c r="X136" s="328">
        <v>0.9</v>
      </c>
      <c r="Y136" s="328">
        <v>0.9</v>
      </c>
      <c r="Z136" s="328">
        <v>0.9</v>
      </c>
      <c r="AA136" s="584">
        <v>0.9</v>
      </c>
      <c r="AB136" s="328">
        <v>0.9</v>
      </c>
      <c r="AC136" s="328">
        <v>0.9</v>
      </c>
      <c r="AD136" s="328">
        <v>0.9</v>
      </c>
      <c r="AE136" s="328">
        <v>0.9</v>
      </c>
      <c r="AF136" s="328">
        <v>0.9</v>
      </c>
      <c r="AG136" s="328">
        <v>0.9</v>
      </c>
      <c r="AH136" s="328">
        <v>0.9</v>
      </c>
      <c r="AI136" s="328">
        <v>0.9</v>
      </c>
      <c r="AJ136" s="328">
        <v>0.9</v>
      </c>
      <c r="AK136" s="329">
        <v>0.9</v>
      </c>
    </row>
    <row r="137" spans="9:37">
      <c r="I137" s="335"/>
      <c r="J137" s="336"/>
      <c r="K137" s="337" t="s">
        <v>749</v>
      </c>
      <c r="L137" s="337"/>
      <c r="M137" s="337"/>
      <c r="N137" s="330">
        <v>0.9</v>
      </c>
      <c r="O137" s="331">
        <v>0.9</v>
      </c>
      <c r="P137" s="331">
        <v>0.9</v>
      </c>
      <c r="Q137" s="331">
        <v>0.9</v>
      </c>
      <c r="R137" s="331">
        <v>0.9</v>
      </c>
      <c r="S137" s="331">
        <v>0.9</v>
      </c>
      <c r="T137" s="331">
        <v>0.9</v>
      </c>
      <c r="U137" s="331">
        <v>0.9</v>
      </c>
      <c r="V137" s="331">
        <v>0.9</v>
      </c>
      <c r="W137" s="331">
        <v>0.9</v>
      </c>
      <c r="X137" s="331">
        <v>0.9</v>
      </c>
      <c r="Y137" s="331">
        <v>0.9</v>
      </c>
      <c r="Z137" s="331">
        <v>0.9</v>
      </c>
      <c r="AA137" s="331">
        <v>0.9</v>
      </c>
      <c r="AB137" s="331">
        <v>0.9</v>
      </c>
      <c r="AC137" s="331">
        <v>0.9</v>
      </c>
      <c r="AD137" s="331">
        <v>0.9</v>
      </c>
      <c r="AE137" s="331">
        <v>0.9</v>
      </c>
      <c r="AF137" s="331">
        <v>0.9</v>
      </c>
      <c r="AG137" s="331">
        <v>0.9</v>
      </c>
      <c r="AH137" s="331">
        <v>0.9</v>
      </c>
      <c r="AI137" s="331">
        <v>0.9</v>
      </c>
      <c r="AJ137" s="331">
        <v>0.9</v>
      </c>
      <c r="AK137" s="332">
        <v>0.9</v>
      </c>
    </row>
    <row r="138" spans="9:37">
      <c r="I138" s="1200" t="s">
        <v>767</v>
      </c>
      <c r="J138" s="333" t="s">
        <v>746</v>
      </c>
      <c r="K138" s="334" t="s">
        <v>747</v>
      </c>
      <c r="L138" s="334"/>
      <c r="M138" s="334"/>
      <c r="N138" s="1199">
        <v>0</v>
      </c>
      <c r="O138" s="325">
        <v>0</v>
      </c>
      <c r="P138" s="325">
        <v>0</v>
      </c>
      <c r="Q138" s="325">
        <v>0</v>
      </c>
      <c r="R138" s="325">
        <v>0</v>
      </c>
      <c r="S138" s="325">
        <v>1</v>
      </c>
      <c r="T138" s="325">
        <v>1</v>
      </c>
      <c r="U138" s="325">
        <v>1</v>
      </c>
      <c r="V138" s="325">
        <v>1</v>
      </c>
      <c r="W138" s="325">
        <v>1</v>
      </c>
      <c r="X138" s="325">
        <v>1</v>
      </c>
      <c r="Y138" s="325">
        <v>1</v>
      </c>
      <c r="Z138" s="325">
        <v>1</v>
      </c>
      <c r="AA138" s="325">
        <v>1</v>
      </c>
      <c r="AB138" s="325">
        <v>1</v>
      </c>
      <c r="AC138" s="325">
        <v>1</v>
      </c>
      <c r="AD138" s="325">
        <v>1</v>
      </c>
      <c r="AE138" s="325">
        <v>1</v>
      </c>
      <c r="AF138" s="325">
        <v>1</v>
      </c>
      <c r="AG138" s="325">
        <v>1</v>
      </c>
      <c r="AH138" s="325">
        <v>1</v>
      </c>
      <c r="AI138" s="325">
        <v>1</v>
      </c>
      <c r="AJ138" s="325">
        <v>1</v>
      </c>
      <c r="AK138" s="326">
        <v>1</v>
      </c>
    </row>
    <row r="139" spans="9:37">
      <c r="I139" s="322"/>
      <c r="J139" s="323"/>
      <c r="K139" s="324" t="s">
        <v>748</v>
      </c>
      <c r="L139" s="324"/>
      <c r="M139" s="324"/>
      <c r="N139" s="327">
        <v>0</v>
      </c>
      <c r="O139" s="328">
        <v>0</v>
      </c>
      <c r="P139" s="328">
        <v>0</v>
      </c>
      <c r="Q139" s="328">
        <v>0</v>
      </c>
      <c r="R139" s="328">
        <v>0</v>
      </c>
      <c r="S139" s="328">
        <v>1</v>
      </c>
      <c r="T139" s="328">
        <v>1</v>
      </c>
      <c r="U139" s="328">
        <v>1</v>
      </c>
      <c r="V139" s="328">
        <v>1</v>
      </c>
      <c r="W139" s="328">
        <v>1</v>
      </c>
      <c r="X139" s="328">
        <v>1</v>
      </c>
      <c r="Y139" s="328">
        <v>1</v>
      </c>
      <c r="Z139" s="328">
        <v>1</v>
      </c>
      <c r="AA139" s="584">
        <v>1</v>
      </c>
      <c r="AB139" s="328">
        <v>1</v>
      </c>
      <c r="AC139" s="328">
        <v>1</v>
      </c>
      <c r="AD139" s="328">
        <v>1</v>
      </c>
      <c r="AE139" s="328">
        <v>1</v>
      </c>
      <c r="AF139" s="328">
        <v>1</v>
      </c>
      <c r="AG139" s="328">
        <v>0</v>
      </c>
      <c r="AH139" s="328">
        <v>0</v>
      </c>
      <c r="AI139" s="328">
        <v>0</v>
      </c>
      <c r="AJ139" s="328">
        <v>0</v>
      </c>
      <c r="AK139" s="329">
        <v>0</v>
      </c>
    </row>
    <row r="140" spans="9:37">
      <c r="I140" s="335"/>
      <c r="J140" s="336"/>
      <c r="K140" s="337" t="s">
        <v>749</v>
      </c>
      <c r="L140" s="337"/>
      <c r="M140" s="337"/>
      <c r="N140" s="330">
        <v>0</v>
      </c>
      <c r="O140" s="331">
        <v>0</v>
      </c>
      <c r="P140" s="331">
        <v>0</v>
      </c>
      <c r="Q140" s="331">
        <v>0</v>
      </c>
      <c r="R140" s="331">
        <v>0</v>
      </c>
      <c r="S140" s="331">
        <v>1</v>
      </c>
      <c r="T140" s="331">
        <v>1</v>
      </c>
      <c r="U140" s="331">
        <v>1</v>
      </c>
      <c r="V140" s="331">
        <v>1</v>
      </c>
      <c r="W140" s="331">
        <v>1</v>
      </c>
      <c r="X140" s="331">
        <v>1</v>
      </c>
      <c r="Y140" s="331">
        <v>1</v>
      </c>
      <c r="Z140" s="331">
        <v>1</v>
      </c>
      <c r="AA140" s="331">
        <v>1</v>
      </c>
      <c r="AB140" s="331">
        <v>1</v>
      </c>
      <c r="AC140" s="331">
        <v>1</v>
      </c>
      <c r="AD140" s="331">
        <v>1</v>
      </c>
      <c r="AE140" s="331">
        <v>1</v>
      </c>
      <c r="AF140" s="331">
        <v>0</v>
      </c>
      <c r="AG140" s="331">
        <v>0</v>
      </c>
      <c r="AH140" s="331">
        <v>0</v>
      </c>
      <c r="AI140" s="331">
        <v>0</v>
      </c>
      <c r="AJ140" s="331">
        <v>0</v>
      </c>
      <c r="AK140" s="332">
        <v>0</v>
      </c>
    </row>
    <row r="141" spans="9:37">
      <c r="I141" s="1200" t="s">
        <v>768</v>
      </c>
      <c r="J141" s="333" t="s">
        <v>746</v>
      </c>
      <c r="K141" s="334" t="s">
        <v>747</v>
      </c>
      <c r="L141" s="334"/>
      <c r="M141" s="334"/>
      <c r="N141" s="1199">
        <v>0</v>
      </c>
      <c r="O141" s="325">
        <v>0</v>
      </c>
      <c r="P141" s="325">
        <v>0</v>
      </c>
      <c r="Q141" s="325">
        <v>0</v>
      </c>
      <c r="R141" s="325">
        <v>0</v>
      </c>
      <c r="S141" s="325">
        <v>0</v>
      </c>
      <c r="T141" s="325">
        <v>0</v>
      </c>
      <c r="U141" s="325">
        <v>0.5</v>
      </c>
      <c r="V141" s="325">
        <v>0.5</v>
      </c>
      <c r="W141" s="325">
        <v>0.5</v>
      </c>
      <c r="X141" s="325">
        <v>0.9</v>
      </c>
      <c r="Y141" s="325">
        <v>0.9</v>
      </c>
      <c r="Z141" s="325">
        <v>0.9</v>
      </c>
      <c r="AA141" s="325">
        <v>0.9</v>
      </c>
      <c r="AB141" s="325">
        <v>0.75</v>
      </c>
      <c r="AC141" s="325">
        <v>0.75</v>
      </c>
      <c r="AD141" s="325">
        <v>0.75</v>
      </c>
      <c r="AE141" s="325">
        <v>0.75</v>
      </c>
      <c r="AF141" s="325">
        <v>0</v>
      </c>
      <c r="AG141" s="325">
        <v>0</v>
      </c>
      <c r="AH141" s="325">
        <v>0</v>
      </c>
      <c r="AI141" s="325">
        <v>0</v>
      </c>
      <c r="AJ141" s="325">
        <v>0</v>
      </c>
      <c r="AK141" s="326">
        <v>0</v>
      </c>
    </row>
    <row r="142" spans="9:37">
      <c r="I142" s="322"/>
      <c r="J142" s="323"/>
      <c r="K142" s="324" t="s">
        <v>748</v>
      </c>
      <c r="L142" s="324"/>
      <c r="M142" s="324"/>
      <c r="N142" s="327">
        <v>0</v>
      </c>
      <c r="O142" s="328">
        <v>0</v>
      </c>
      <c r="P142" s="328">
        <v>0</v>
      </c>
      <c r="Q142" s="328">
        <v>0</v>
      </c>
      <c r="R142" s="328">
        <v>0</v>
      </c>
      <c r="S142" s="328">
        <v>0</v>
      </c>
      <c r="T142" s="328">
        <v>0</v>
      </c>
      <c r="U142" s="328">
        <v>0</v>
      </c>
      <c r="V142" s="328">
        <v>0.5</v>
      </c>
      <c r="W142" s="328">
        <v>0.5</v>
      </c>
      <c r="X142" s="328">
        <v>0.9</v>
      </c>
      <c r="Y142" s="328">
        <v>0.9</v>
      </c>
      <c r="Z142" s="328">
        <v>0.9</v>
      </c>
      <c r="AA142" s="584">
        <v>0.9</v>
      </c>
      <c r="AB142" s="328">
        <v>0.75</v>
      </c>
      <c r="AC142" s="328">
        <v>0.75</v>
      </c>
      <c r="AD142" s="328">
        <v>0.75</v>
      </c>
      <c r="AE142" s="328">
        <v>0</v>
      </c>
      <c r="AF142" s="328">
        <v>0</v>
      </c>
      <c r="AG142" s="328">
        <v>0</v>
      </c>
      <c r="AH142" s="328">
        <v>0</v>
      </c>
      <c r="AI142" s="328">
        <v>0</v>
      </c>
      <c r="AJ142" s="328">
        <v>0</v>
      </c>
      <c r="AK142" s="329">
        <v>0</v>
      </c>
    </row>
    <row r="143" spans="9:37">
      <c r="I143" s="335"/>
      <c r="J143" s="336"/>
      <c r="K143" s="337" t="s">
        <v>749</v>
      </c>
      <c r="L143" s="337"/>
      <c r="M143" s="337"/>
      <c r="N143" s="330">
        <v>0</v>
      </c>
      <c r="O143" s="331">
        <v>0</v>
      </c>
      <c r="P143" s="331">
        <v>0</v>
      </c>
      <c r="Q143" s="331">
        <v>0</v>
      </c>
      <c r="R143" s="331">
        <v>0</v>
      </c>
      <c r="S143" s="331">
        <v>0</v>
      </c>
      <c r="T143" s="331">
        <v>0</v>
      </c>
      <c r="U143" s="331">
        <v>0</v>
      </c>
      <c r="V143" s="331">
        <v>0</v>
      </c>
      <c r="W143" s="331">
        <v>0</v>
      </c>
      <c r="X143" s="331">
        <v>0</v>
      </c>
      <c r="Y143" s="331">
        <v>0</v>
      </c>
      <c r="Z143" s="331">
        <v>0</v>
      </c>
      <c r="AA143" s="331">
        <v>0</v>
      </c>
      <c r="AB143" s="331">
        <v>0</v>
      </c>
      <c r="AC143" s="331">
        <v>0</v>
      </c>
      <c r="AD143" s="331">
        <v>0</v>
      </c>
      <c r="AE143" s="331">
        <v>0</v>
      </c>
      <c r="AF143" s="331">
        <v>0</v>
      </c>
      <c r="AG143" s="331">
        <v>0</v>
      </c>
      <c r="AH143" s="331">
        <v>0</v>
      </c>
      <c r="AI143" s="331">
        <v>0</v>
      </c>
      <c r="AJ143" s="331">
        <v>0</v>
      </c>
      <c r="AK143" s="332">
        <v>0</v>
      </c>
    </row>
    <row r="144" spans="9:37">
      <c r="I144" s="412" t="s">
        <v>769</v>
      </c>
      <c r="P144" s="103">
        <v>28.67</v>
      </c>
      <c r="Q144" s="103" t="s">
        <v>159</v>
      </c>
      <c r="R144" s="103" t="s">
        <v>770</v>
      </c>
      <c r="AA144" s="106"/>
    </row>
    <row r="145" spans="9:27">
      <c r="I145" s="412" t="s">
        <v>771</v>
      </c>
      <c r="P145" s="328">
        <v>12.95</v>
      </c>
      <c r="Q145" s="103" t="s">
        <v>159</v>
      </c>
      <c r="R145" s="328">
        <v>2018</v>
      </c>
      <c r="S145" s="103" t="s">
        <v>756</v>
      </c>
      <c r="AA145" s="106"/>
    </row>
    <row r="146" spans="9:27">
      <c r="I146" s="103" t="s">
        <v>772</v>
      </c>
    </row>
  </sheetData>
  <mergeCells count="3">
    <mergeCell ref="K45:K47"/>
    <mergeCell ref="K43:K44"/>
    <mergeCell ref="K49:K50"/>
  </mergeCells>
  <hyperlinks>
    <hyperlink ref="I111" r:id="rId1" xr:uid="{765B5CAD-E7E0-4B15-A64B-25372691971A}"/>
    <hyperlink ref="I113" r:id="rId2" xr:uid="{B9723E67-30A4-4FF2-9B41-2133F2BD2095}"/>
    <hyperlink ref="I96" r:id="rId3" xr:uid="{4D12B8D9-BA08-4D18-9BA3-3D349B4ACF59}"/>
    <hyperlink ref="I144" r:id="rId4" xr:uid="{65A71BEB-8FE9-41C9-A651-37BACE3D220C}"/>
    <hyperlink ref="I145" r:id="rId5" xr:uid="{8377FBC9-0BED-4A4B-BD17-DBED90C2FB86}"/>
    <hyperlink ref="O57" r:id="rId6" xr:uid="{F90B72C5-7287-4E15-8CC0-833A6DA60A20}"/>
    <hyperlink ref="L74" r:id="rId7" xr:uid="{6A0DB4F5-8286-46E1-B4D9-3EEC45F24CE6}"/>
    <hyperlink ref="O56" r:id="rId8" xr:uid="{02FF91D6-5192-4E21-B052-D24D4A4C2FE6}"/>
  </hyperlinks>
  <pageMargins left="0.7" right="0.7" top="0.75" bottom="0.75" header="0.3" footer="0.3"/>
  <pageSetup orientation="portrait" r:id="rId9"/>
  <legacyDrawing r:id="rId10"/>
  <extLst>
    <ext xmlns:x14="http://schemas.microsoft.com/office/spreadsheetml/2009/9/main" uri="{05C60535-1F16-4fd2-B633-F4F36F0B64E0}">
      <x14:sparklineGroups xmlns:xm="http://schemas.microsoft.com/office/excel/2006/main">
        <x14:sparklineGroup manualMax="0" manualMin="0" type="column" displayEmptyCellsAs="gap" xr2:uid="{64629D93-6564-41CB-AF25-244A65A9BEEC}">
          <x14:colorSeries rgb="FF376092"/>
          <x14:colorNegative rgb="FFD00000"/>
          <x14:colorAxis rgb="FF000000"/>
          <x14:colorMarkers rgb="FFD00000"/>
          <x14:colorFirst rgb="FFD00000"/>
          <x14:colorLast rgb="FFD00000"/>
          <x14:colorHigh rgb="FFD00000"/>
          <x14:colorLow rgb="FFD00000"/>
          <x14:sparklines>
            <x14:sparkline>
              <xm:f>'Inputs Data'!N99:AK99</xm:f>
              <xm:sqref>H98</xm:sqref>
            </x14:sparkline>
            <x14:sparkline>
              <xm:f>'Inputs Data'!N100:AK100</xm:f>
              <xm:sqref>H99</xm:sqref>
            </x14:sparkline>
            <x14:sparkline>
              <xm:f>'Inputs Data'!N101:AK101</xm:f>
              <xm:sqref>H100</xm:sqref>
            </x14:sparkline>
            <x14:sparkline>
              <xm:f>'Inputs Data'!N102:AK102</xm:f>
              <xm:sqref>H101</xm:sqref>
            </x14:sparkline>
            <x14:sparkline>
              <xm:f>'Inputs Data'!N103:AK103</xm:f>
              <xm:sqref>H102</xm:sqref>
            </x14:sparkline>
            <x14:sparkline>
              <xm:f>'Inputs Data'!N104:AK104</xm:f>
              <xm:sqref>H103</xm:sqref>
            </x14:sparkline>
            <x14:sparkline>
              <xm:f>'Inputs Data'!N105:AK105</xm:f>
              <xm:sqref>H104</xm:sqref>
            </x14:sparkline>
            <x14:sparkline>
              <xm:f>'Inputs Data'!N106:AK106</xm:f>
              <xm:sqref>H105</xm:sqref>
            </x14:sparkline>
            <x14:sparkline>
              <xm:f>'Inputs Data'!N107:AK107</xm:f>
              <xm:sqref>H106</xm:sqref>
            </x14:sparkline>
            <x14:sparkline>
              <xm:f>'Inputs Data'!N108:AK108</xm:f>
              <xm:sqref>H107</xm:sqref>
            </x14:sparkline>
            <x14:sparkline>
              <xm:f>'Inputs Data'!N109:AK109</xm:f>
              <xm:sqref>H108</xm:sqref>
            </x14:sparkline>
            <x14:sparkline>
              <xm:f>'Inputs Data'!N110:AK110</xm:f>
              <xm:sqref>H109</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BF112"/>
  <sheetViews>
    <sheetView showGridLines="0" topLeftCell="Y1" zoomScale="85" zoomScaleNormal="85" workbookViewId="0">
      <selection activeCell="AG20" sqref="AG20"/>
    </sheetView>
  </sheetViews>
  <sheetFormatPr defaultColWidth="9.28515625" defaultRowHeight="15"/>
  <cols>
    <col min="1" max="1" width="47" style="29" bestFit="1" customWidth="1"/>
    <col min="2" max="2" width="47" style="103" customWidth="1"/>
    <col min="3" max="3" width="27.42578125" style="29" customWidth="1"/>
    <col min="4" max="4" width="19.28515625" style="29" customWidth="1"/>
    <col min="5" max="5" width="21.28515625" style="29" customWidth="1"/>
    <col min="6" max="7" width="13.28515625" style="53" customWidth="1"/>
    <col min="8" max="9" width="23.28515625" style="53" customWidth="1"/>
    <col min="10" max="10" width="9.28515625" style="29"/>
    <col min="11" max="11" width="14.42578125" style="29" bestFit="1" customWidth="1"/>
    <col min="12" max="12" width="33.42578125" style="29" bestFit="1" customWidth="1"/>
    <col min="13" max="13" width="43.42578125" style="29" bestFit="1" customWidth="1"/>
    <col min="14" max="14" width="9.28515625" style="29"/>
    <col min="15" max="15" width="17.7109375" style="29" bestFit="1" customWidth="1"/>
    <col min="16" max="16" width="20.7109375" style="29" bestFit="1" customWidth="1"/>
    <col min="17" max="17" width="32.28515625" style="29" customWidth="1"/>
    <col min="18" max="18" width="34.28515625" style="29" customWidth="1"/>
    <col min="19" max="19" width="26.7109375" style="29" customWidth="1"/>
    <col min="20" max="20" width="23.42578125" style="29" customWidth="1"/>
    <col min="21" max="21" width="20.42578125" style="29" customWidth="1"/>
    <col min="22" max="22" width="17.42578125" style="29" customWidth="1"/>
    <col min="23" max="23" width="17.28515625" style="29" customWidth="1"/>
    <col min="24" max="24" width="17.28515625" style="52" customWidth="1"/>
    <col min="25" max="25" width="20.28515625" style="29" customWidth="1"/>
    <col min="26" max="26" width="21.42578125" style="29" customWidth="1"/>
    <col min="27" max="27" width="20.28515625" style="29" customWidth="1"/>
    <col min="28" max="29" width="20.28515625" style="53" customWidth="1"/>
    <col min="30" max="30" width="21.42578125" style="29" customWidth="1"/>
    <col min="31" max="32" width="17.42578125" style="29" customWidth="1"/>
    <col min="33" max="33" width="21.28515625" style="29" bestFit="1" customWidth="1"/>
    <col min="34" max="34" width="18.42578125" style="29" bestFit="1" customWidth="1"/>
    <col min="35" max="35" width="35.7109375" style="29" bestFit="1" customWidth="1"/>
    <col min="36" max="36" width="37.42578125" style="29" customWidth="1"/>
    <col min="37" max="41" width="9.28515625" style="29"/>
    <col min="42" max="42" width="30.28515625" style="29" bestFit="1" customWidth="1"/>
    <col min="43" max="51" width="9.28515625" style="29"/>
    <col min="52" max="52" width="30.140625" style="29" bestFit="1" customWidth="1"/>
    <col min="53" max="53" width="9.28515625" style="29"/>
    <col min="54" max="54" width="17.85546875" style="29" bestFit="1" customWidth="1"/>
    <col min="55" max="55" width="23.85546875" style="29" bestFit="1" customWidth="1"/>
    <col min="56" max="56" width="9.28515625" style="29"/>
    <col min="57" max="57" width="19.7109375" style="29" customWidth="1"/>
    <col min="59" max="16384" width="9.28515625" style="29"/>
  </cols>
  <sheetData>
    <row r="1" spans="1:57" s="30" customFormat="1" ht="32.1">
      <c r="A1" s="55" t="s">
        <v>773</v>
      </c>
      <c r="B1" s="55" t="s">
        <v>774</v>
      </c>
      <c r="C1" s="30" t="s">
        <v>775</v>
      </c>
      <c r="D1" s="85" t="s">
        <v>776</v>
      </c>
      <c r="E1" s="55" t="s">
        <v>777</v>
      </c>
      <c r="F1" s="85" t="s">
        <v>776</v>
      </c>
      <c r="G1" s="85" t="s">
        <v>778</v>
      </c>
      <c r="H1" s="85" t="s">
        <v>779</v>
      </c>
      <c r="I1" s="85" t="s">
        <v>780</v>
      </c>
      <c r="J1" s="55" t="s">
        <v>239</v>
      </c>
      <c r="K1" s="55" t="s">
        <v>105</v>
      </c>
      <c r="L1" s="55" t="s">
        <v>781</v>
      </c>
      <c r="M1" s="55"/>
      <c r="N1" s="55" t="s">
        <v>782</v>
      </c>
      <c r="O1" s="55" t="s">
        <v>783</v>
      </c>
      <c r="P1" s="55" t="s">
        <v>784</v>
      </c>
      <c r="Q1" s="55" t="s">
        <v>785</v>
      </c>
      <c r="R1" s="55" t="s">
        <v>786</v>
      </c>
      <c r="S1" s="55" t="s">
        <v>787</v>
      </c>
      <c r="T1" s="55" t="s">
        <v>788</v>
      </c>
      <c r="U1" s="55" t="s">
        <v>789</v>
      </c>
      <c r="V1" s="55" t="s">
        <v>790</v>
      </c>
      <c r="W1" s="55" t="s">
        <v>791</v>
      </c>
      <c r="X1" s="55" t="s">
        <v>792</v>
      </c>
      <c r="Y1" s="55" t="s">
        <v>793</v>
      </c>
      <c r="Z1" s="55" t="s">
        <v>794</v>
      </c>
      <c r="AA1" s="55" t="s">
        <v>795</v>
      </c>
      <c r="AB1" s="55" t="s">
        <v>796</v>
      </c>
      <c r="AC1" s="55" t="s">
        <v>797</v>
      </c>
      <c r="AD1" s="55" t="s">
        <v>798</v>
      </c>
      <c r="AE1" s="55" t="s">
        <v>799</v>
      </c>
      <c r="AF1" s="55" t="s">
        <v>800</v>
      </c>
      <c r="AG1" s="55" t="s">
        <v>801</v>
      </c>
      <c r="AH1" s="56" t="s">
        <v>802</v>
      </c>
      <c r="AI1" s="55" t="s">
        <v>123</v>
      </c>
      <c r="AJ1" s="55" t="s">
        <v>803</v>
      </c>
      <c r="AN1" s="30" t="s">
        <v>804</v>
      </c>
      <c r="AO1" s="30" t="s">
        <v>805</v>
      </c>
      <c r="AP1" s="30" t="s">
        <v>806</v>
      </c>
      <c r="AQ1" s="30" t="s">
        <v>807</v>
      </c>
      <c r="AR1" s="30" t="s">
        <v>808</v>
      </c>
      <c r="AS1" s="93" t="s">
        <v>809</v>
      </c>
      <c r="AT1" s="30" t="s">
        <v>810</v>
      </c>
      <c r="AU1" s="30" t="s">
        <v>811</v>
      </c>
      <c r="AY1" s="30" t="s">
        <v>301</v>
      </c>
      <c r="AZ1" s="30" t="s">
        <v>812</v>
      </c>
      <c r="BA1" s="30" t="s">
        <v>813</v>
      </c>
      <c r="BB1" s="85" t="s">
        <v>343</v>
      </c>
      <c r="BC1" s="85" t="s">
        <v>342</v>
      </c>
      <c r="BD1" s="85" t="s">
        <v>567</v>
      </c>
      <c r="BE1" s="85" t="s">
        <v>814</v>
      </c>
    </row>
    <row r="2" spans="1:57">
      <c r="A2" s="54" t="s">
        <v>815</v>
      </c>
      <c r="B2" s="54" t="s">
        <v>193</v>
      </c>
      <c r="C2" s="103" t="s">
        <v>227</v>
      </c>
      <c r="D2" s="103"/>
      <c r="E2" s="34"/>
      <c r="F2" s="103"/>
      <c r="G2" s="103"/>
      <c r="H2" s="103"/>
      <c r="I2" s="103"/>
      <c r="J2" s="34"/>
      <c r="K2" s="34"/>
      <c r="L2" s="57"/>
      <c r="M2" s="57"/>
      <c r="N2" s="34"/>
      <c r="O2" s="34"/>
      <c r="P2" s="34"/>
      <c r="Q2" s="107"/>
      <c r="R2" s="31"/>
      <c r="S2" s="31"/>
      <c r="T2" s="31"/>
      <c r="U2" s="31"/>
      <c r="V2" s="31"/>
      <c r="W2" s="31"/>
      <c r="X2" s="31"/>
      <c r="Y2" s="34"/>
      <c r="Z2" s="31"/>
      <c r="AA2" s="31"/>
      <c r="AB2" s="31"/>
      <c r="AC2" s="31"/>
      <c r="AD2" s="31"/>
      <c r="AE2" s="31"/>
      <c r="AF2" s="31"/>
      <c r="AG2" s="59" t="s">
        <v>816</v>
      </c>
      <c r="AH2" s="59"/>
      <c r="AI2" s="59"/>
      <c r="AJ2" s="691"/>
      <c r="AK2" s="103"/>
      <c r="AL2" s="103"/>
      <c r="AM2" s="103"/>
      <c r="AN2" s="92"/>
      <c r="AO2" s="103"/>
      <c r="AP2" s="103"/>
      <c r="AQ2" s="103"/>
      <c r="AR2" s="103"/>
      <c r="AS2" s="94"/>
      <c r="AT2" s="103"/>
      <c r="AU2" s="103"/>
      <c r="AV2" s="15"/>
      <c r="AW2" s="103"/>
      <c r="AX2" s="103"/>
      <c r="AY2" s="277"/>
      <c r="AZ2" s="277"/>
      <c r="BA2" s="277"/>
      <c r="BB2" s="277"/>
      <c r="BC2" s="277"/>
      <c r="BD2" s="277"/>
      <c r="BE2" s="695">
        <v>0.3</v>
      </c>
    </row>
    <row r="3" spans="1:57" s="103" customFormat="1" ht="15.95">
      <c r="A3" s="54" t="s">
        <v>817</v>
      </c>
      <c r="B3" s="54" t="s">
        <v>99</v>
      </c>
      <c r="C3" s="103" t="s">
        <v>110</v>
      </c>
      <c r="D3" s="103" t="s">
        <v>263</v>
      </c>
      <c r="E3" s="34" t="s">
        <v>818</v>
      </c>
      <c r="F3" s="103" t="s">
        <v>819</v>
      </c>
      <c r="G3" s="103" t="str">
        <f>C3</f>
        <v>Electricity</v>
      </c>
      <c r="H3" s="103" t="str">
        <f>C9</f>
        <v>On-Site Generated - Electricity</v>
      </c>
      <c r="I3" s="103" t="str">
        <f>C11</f>
        <v>Exported - Electricity</v>
      </c>
      <c r="J3" s="34" t="s">
        <v>820</v>
      </c>
      <c r="K3" s="34" t="s">
        <v>110</v>
      </c>
      <c r="L3" s="57" t="s">
        <v>118</v>
      </c>
      <c r="M3" s="57" t="s">
        <v>821</v>
      </c>
      <c r="N3" s="34" t="s">
        <v>400</v>
      </c>
      <c r="O3" s="34" t="s">
        <v>822</v>
      </c>
      <c r="P3" s="34" t="s">
        <v>823</v>
      </c>
      <c r="Q3" s="107" t="s">
        <v>824</v>
      </c>
      <c r="R3" s="31" t="s">
        <v>825</v>
      </c>
      <c r="S3" s="31" t="s">
        <v>825</v>
      </c>
      <c r="T3" s="31" t="s">
        <v>826</v>
      </c>
      <c r="U3" s="31" t="s">
        <v>827</v>
      </c>
      <c r="V3" s="31" t="s">
        <v>828</v>
      </c>
      <c r="W3" s="31" t="s">
        <v>829</v>
      </c>
      <c r="X3" s="31" t="s">
        <v>829</v>
      </c>
      <c r="Y3" s="34" t="s">
        <v>830</v>
      </c>
      <c r="Z3" s="31" t="s">
        <v>831</v>
      </c>
      <c r="AA3" s="31" t="s">
        <v>832</v>
      </c>
      <c r="AB3" s="31" t="s">
        <v>833</v>
      </c>
      <c r="AC3" s="31" t="s">
        <v>834</v>
      </c>
      <c r="AD3" s="31" t="s">
        <v>835</v>
      </c>
      <c r="AE3" s="31" t="s">
        <v>836</v>
      </c>
      <c r="AF3" s="31" t="s">
        <v>110</v>
      </c>
      <c r="AG3" s="59" t="s">
        <v>263</v>
      </c>
      <c r="AH3" s="59">
        <v>3.4119999999999999</v>
      </c>
      <c r="AI3" s="59" t="s">
        <v>837</v>
      </c>
      <c r="AJ3" s="691" t="s">
        <v>410</v>
      </c>
      <c r="AK3" s="103">
        <v>1</v>
      </c>
      <c r="AL3" s="103">
        <v>1</v>
      </c>
      <c r="AM3" s="103">
        <v>2000</v>
      </c>
      <c r="AN3" s="92" t="s">
        <v>838</v>
      </c>
      <c r="AO3" s="103" t="s">
        <v>839</v>
      </c>
      <c r="AP3" s="103" t="s">
        <v>840</v>
      </c>
      <c r="AQ3" s="103" t="s">
        <v>841</v>
      </c>
      <c r="AR3" s="103" t="s">
        <v>842</v>
      </c>
      <c r="AS3" s="94" t="s">
        <v>843</v>
      </c>
      <c r="AT3" s="103" t="s">
        <v>844</v>
      </c>
      <c r="AU3" s="103" t="s">
        <v>525</v>
      </c>
      <c r="AV3" s="15"/>
      <c r="AY3" s="229" t="s">
        <v>845</v>
      </c>
      <c r="AZ3" s="229" t="s">
        <v>846</v>
      </c>
      <c r="BA3" s="229">
        <v>10</v>
      </c>
      <c r="BB3" s="229" t="s">
        <v>378</v>
      </c>
      <c r="BC3" s="229" t="s">
        <v>416</v>
      </c>
      <c r="BD3" s="229">
        <v>5</v>
      </c>
      <c r="BE3" s="695">
        <v>0.27</v>
      </c>
    </row>
    <row r="4" spans="1:57" ht="15.95">
      <c r="A4" s="54" t="s">
        <v>847</v>
      </c>
      <c r="B4" s="54" t="s">
        <v>195</v>
      </c>
      <c r="C4" s="103" t="s">
        <v>182</v>
      </c>
      <c r="D4" s="103" t="str">
        <f>$AG$6</f>
        <v>therms</v>
      </c>
      <c r="E4" s="34" t="s">
        <v>268</v>
      </c>
      <c r="F4" s="103" t="s">
        <v>819</v>
      </c>
      <c r="G4" s="103" t="str">
        <f>C4</f>
        <v>Natural Gas</v>
      </c>
      <c r="H4" s="103" t="str">
        <f>C9</f>
        <v>On-Site Generated - Electricity</v>
      </c>
      <c r="I4" s="103" t="str">
        <f>C11</f>
        <v>Exported - Electricity</v>
      </c>
      <c r="J4" s="34" t="s">
        <v>848</v>
      </c>
      <c r="K4" s="34" t="s">
        <v>113</v>
      </c>
      <c r="L4" s="34" t="s">
        <v>849</v>
      </c>
      <c r="M4" s="34" t="s">
        <v>850</v>
      </c>
      <c r="N4" s="31" t="s">
        <v>376</v>
      </c>
      <c r="O4" s="34" t="s">
        <v>851</v>
      </c>
      <c r="P4" s="34" t="s">
        <v>852</v>
      </c>
      <c r="Q4" s="107" t="s">
        <v>853</v>
      </c>
      <c r="R4" s="31" t="s">
        <v>854</v>
      </c>
      <c r="S4" s="31" t="s">
        <v>854</v>
      </c>
      <c r="T4" s="31" t="s">
        <v>855</v>
      </c>
      <c r="U4" s="31" t="s">
        <v>856</v>
      </c>
      <c r="V4" s="31" t="s">
        <v>857</v>
      </c>
      <c r="W4" s="31" t="s">
        <v>858</v>
      </c>
      <c r="X4" s="31" t="s">
        <v>858</v>
      </c>
      <c r="Y4" s="34" t="s">
        <v>859</v>
      </c>
      <c r="Z4" s="31" t="s">
        <v>860</v>
      </c>
      <c r="AA4" s="31" t="s">
        <v>861</v>
      </c>
      <c r="AB4" s="31" t="s">
        <v>862</v>
      </c>
      <c r="AC4" s="31" t="s">
        <v>863</v>
      </c>
      <c r="AD4" s="31" t="s">
        <v>864</v>
      </c>
      <c r="AE4" s="31" t="s">
        <v>865</v>
      </c>
      <c r="AF4" s="31" t="s">
        <v>858</v>
      </c>
      <c r="AG4" s="59" t="s">
        <v>866</v>
      </c>
      <c r="AH4" s="59">
        <v>3412</v>
      </c>
      <c r="AI4" s="59" t="s">
        <v>837</v>
      </c>
      <c r="AJ4" s="691" t="s">
        <v>369</v>
      </c>
      <c r="AK4" s="103">
        <v>2</v>
      </c>
      <c r="AL4" s="103">
        <v>2</v>
      </c>
      <c r="AM4" s="103">
        <v>2001</v>
      </c>
      <c r="AN4" s="92" t="s">
        <v>867</v>
      </c>
      <c r="AO4" s="103" t="s">
        <v>868</v>
      </c>
      <c r="AP4" s="103" t="s">
        <v>869</v>
      </c>
      <c r="AQ4" s="103" t="s">
        <v>870</v>
      </c>
      <c r="AR4" s="103" t="s">
        <v>871</v>
      </c>
      <c r="AS4" s="94">
        <v>10</v>
      </c>
      <c r="AT4" s="103" t="s">
        <v>872</v>
      </c>
      <c r="AU4" s="103" t="s">
        <v>527</v>
      </c>
      <c r="AV4" s="103"/>
      <c r="AW4" s="103"/>
      <c r="AX4" s="103"/>
      <c r="AY4" s="277" t="s">
        <v>873</v>
      </c>
      <c r="AZ4" s="277" t="s">
        <v>874</v>
      </c>
      <c r="BA4" s="277">
        <v>15</v>
      </c>
      <c r="BB4" s="277" t="s">
        <v>417</v>
      </c>
      <c r="BC4" s="277" t="s">
        <v>401</v>
      </c>
      <c r="BD4" s="277">
        <v>10</v>
      </c>
      <c r="BE4" s="695">
        <v>0.23</v>
      </c>
    </row>
    <row r="5" spans="1:57" ht="15.95">
      <c r="A5" s="54" t="s">
        <v>875</v>
      </c>
      <c r="B5" s="54" t="s">
        <v>196</v>
      </c>
      <c r="C5" s="103" t="s">
        <v>220</v>
      </c>
      <c r="D5" s="103" t="str">
        <f>$AG$11</f>
        <v>lbs District Steam</v>
      </c>
      <c r="E5" s="34" t="s">
        <v>270</v>
      </c>
      <c r="F5" s="103" t="s">
        <v>876</v>
      </c>
      <c r="G5" s="103" t="str">
        <f>C5</f>
        <v>Purchased Steam</v>
      </c>
      <c r="H5" s="103" t="s">
        <v>877</v>
      </c>
      <c r="I5" s="103" t="s">
        <v>878</v>
      </c>
      <c r="J5" s="34"/>
      <c r="K5" s="34" t="s">
        <v>114</v>
      </c>
      <c r="L5" s="34" t="s">
        <v>112</v>
      </c>
      <c r="M5" s="34" t="s">
        <v>879</v>
      </c>
      <c r="N5" s="34"/>
      <c r="O5" s="34" t="s">
        <v>880</v>
      </c>
      <c r="P5" s="34" t="s">
        <v>796</v>
      </c>
      <c r="Q5" s="107" t="s">
        <v>881</v>
      </c>
      <c r="R5" s="31" t="s">
        <v>882</v>
      </c>
      <c r="S5" s="31" t="s">
        <v>883</v>
      </c>
      <c r="T5" s="34"/>
      <c r="U5" s="31" t="s">
        <v>884</v>
      </c>
      <c r="V5" s="31" t="s">
        <v>885</v>
      </c>
      <c r="W5" s="31" t="s">
        <v>886</v>
      </c>
      <c r="X5" s="31" t="s">
        <v>886</v>
      </c>
      <c r="Y5" s="34" t="s">
        <v>887</v>
      </c>
      <c r="Z5" s="31" t="s">
        <v>888</v>
      </c>
      <c r="AA5" s="31" t="s">
        <v>889</v>
      </c>
      <c r="AB5" s="31" t="s">
        <v>890</v>
      </c>
      <c r="AC5" s="31" t="s">
        <v>120</v>
      </c>
      <c r="AD5" s="31" t="s">
        <v>891</v>
      </c>
      <c r="AE5" s="34"/>
      <c r="AF5" s="31" t="s">
        <v>886</v>
      </c>
      <c r="AG5" s="59" t="s">
        <v>266</v>
      </c>
      <c r="AH5" s="59">
        <v>1000</v>
      </c>
      <c r="AI5" s="59"/>
      <c r="AJ5" s="691" t="s">
        <v>395</v>
      </c>
      <c r="AK5" s="103">
        <v>3</v>
      </c>
      <c r="AL5" s="103">
        <v>3</v>
      </c>
      <c r="AM5" s="103">
        <v>2002</v>
      </c>
      <c r="AN5" s="92" t="s">
        <v>892</v>
      </c>
      <c r="AO5" s="103"/>
      <c r="AP5" s="103" t="s">
        <v>893</v>
      </c>
      <c r="AQ5" s="103" t="s">
        <v>231</v>
      </c>
      <c r="AR5" s="103" t="s">
        <v>894</v>
      </c>
      <c r="AS5" s="94">
        <v>25</v>
      </c>
      <c r="AT5" s="103" t="s">
        <v>895</v>
      </c>
      <c r="AU5" s="103" t="s">
        <v>495</v>
      </c>
      <c r="AV5" s="103"/>
      <c r="AW5" s="103"/>
      <c r="AX5" s="103"/>
      <c r="AY5" s="103" t="s">
        <v>128</v>
      </c>
      <c r="AZ5" s="103" t="s">
        <v>396</v>
      </c>
      <c r="BA5" s="103">
        <v>24</v>
      </c>
      <c r="BB5" s="103" t="s">
        <v>402</v>
      </c>
      <c r="BC5" s="103" t="s">
        <v>377</v>
      </c>
      <c r="BD5" s="103">
        <v>15</v>
      </c>
      <c r="BE5" s="695">
        <v>0.2</v>
      </c>
    </row>
    <row r="6" spans="1:57" ht="15.95">
      <c r="A6" s="54" t="s">
        <v>896</v>
      </c>
      <c r="B6" s="54" t="s">
        <v>197</v>
      </c>
      <c r="C6" s="103" t="s">
        <v>224</v>
      </c>
      <c r="D6" s="103" t="str">
        <f>$AG$5</f>
        <v>MMBtu</v>
      </c>
      <c r="E6" s="34" t="s">
        <v>120</v>
      </c>
      <c r="F6" s="103" t="str">
        <f>$AG$5</f>
        <v>MMBtu</v>
      </c>
      <c r="G6" s="103" t="str">
        <f>C6</f>
        <v>Purchased Hot Water</v>
      </c>
      <c r="H6" s="103"/>
      <c r="I6" s="103"/>
      <c r="J6" s="34"/>
      <c r="K6" s="34" t="s">
        <v>115</v>
      </c>
      <c r="L6" s="34" t="s">
        <v>897</v>
      </c>
      <c r="M6" s="34"/>
      <c r="N6" s="34"/>
      <c r="O6" s="34" t="s">
        <v>898</v>
      </c>
      <c r="P6" s="34" t="s">
        <v>899</v>
      </c>
      <c r="Q6" s="107" t="s">
        <v>900</v>
      </c>
      <c r="R6" s="31" t="s">
        <v>842</v>
      </c>
      <c r="S6" s="31" t="s">
        <v>842</v>
      </c>
      <c r="T6" s="34"/>
      <c r="U6" s="31" t="s">
        <v>901</v>
      </c>
      <c r="V6" s="31" t="s">
        <v>902</v>
      </c>
      <c r="W6" s="31" t="s">
        <v>120</v>
      </c>
      <c r="X6" s="31" t="s">
        <v>120</v>
      </c>
      <c r="Y6" s="31" t="s">
        <v>120</v>
      </c>
      <c r="Z6" s="31" t="s">
        <v>120</v>
      </c>
      <c r="AA6" s="31" t="s">
        <v>903</v>
      </c>
      <c r="AB6" s="31"/>
      <c r="AC6" s="31"/>
      <c r="AD6" s="31" t="s">
        <v>885</v>
      </c>
      <c r="AE6" s="34"/>
      <c r="AF6" s="31" t="s">
        <v>904</v>
      </c>
      <c r="AG6" s="59" t="s">
        <v>264</v>
      </c>
      <c r="AH6" s="59">
        <v>100</v>
      </c>
      <c r="AI6" s="59"/>
      <c r="AJ6" s="691" t="s">
        <v>379</v>
      </c>
      <c r="AK6" s="103">
        <v>4</v>
      </c>
      <c r="AL6" s="103">
        <v>4</v>
      </c>
      <c r="AM6" s="103">
        <v>2003</v>
      </c>
      <c r="AN6" s="92" t="s">
        <v>905</v>
      </c>
      <c r="AO6" s="103"/>
      <c r="AP6" s="103" t="s">
        <v>906</v>
      </c>
      <c r="AQ6" s="103" t="s">
        <v>120</v>
      </c>
      <c r="AR6" s="103" t="s">
        <v>907</v>
      </c>
      <c r="AS6" s="94">
        <v>50</v>
      </c>
      <c r="AT6" s="103"/>
      <c r="AU6" s="103" t="s">
        <v>580</v>
      </c>
      <c r="AV6" s="103"/>
      <c r="AW6" s="103"/>
      <c r="AX6" s="103"/>
      <c r="AY6" s="103"/>
      <c r="AZ6" s="103" t="s">
        <v>908</v>
      </c>
      <c r="BA6" s="103">
        <v>24</v>
      </c>
      <c r="BB6" s="103"/>
      <c r="BC6" s="103" t="s">
        <v>909</v>
      </c>
      <c r="BD6" s="103">
        <v>20</v>
      </c>
      <c r="BE6" s="695">
        <v>0.18</v>
      </c>
    </row>
    <row r="7" spans="1:57" ht="15.95">
      <c r="A7" s="54" t="s">
        <v>910</v>
      </c>
      <c r="B7" s="54" t="s">
        <v>198</v>
      </c>
      <c r="C7" s="103" t="s">
        <v>222</v>
      </c>
      <c r="D7" s="103" t="str">
        <f>$AG$5</f>
        <v>MMBtu</v>
      </c>
      <c r="E7" s="34"/>
      <c r="F7" s="103"/>
      <c r="G7" s="103" t="str">
        <f>C7</f>
        <v>Purchased Chilled Water</v>
      </c>
      <c r="H7" s="103"/>
      <c r="I7" s="103"/>
      <c r="J7" s="34"/>
      <c r="K7" s="34" t="s">
        <v>116</v>
      </c>
      <c r="L7" s="34" t="s">
        <v>911</v>
      </c>
      <c r="M7" s="34"/>
      <c r="N7" s="34"/>
      <c r="O7" s="34" t="s">
        <v>912</v>
      </c>
      <c r="P7" s="34" t="s">
        <v>913</v>
      </c>
      <c r="Q7" s="107" t="s">
        <v>914</v>
      </c>
      <c r="R7" s="31" t="s">
        <v>120</v>
      </c>
      <c r="S7" s="31" t="s">
        <v>120</v>
      </c>
      <c r="T7" s="34"/>
      <c r="U7" s="31" t="s">
        <v>915</v>
      </c>
      <c r="V7" s="31" t="s">
        <v>183</v>
      </c>
      <c r="W7" s="34"/>
      <c r="X7" s="34"/>
      <c r="Y7" s="34"/>
      <c r="Z7" s="34"/>
      <c r="AA7" s="31"/>
      <c r="AB7" s="31"/>
      <c r="AC7" s="31"/>
      <c r="AD7" s="31" t="s">
        <v>120</v>
      </c>
      <c r="AE7" s="34"/>
      <c r="AF7" s="34"/>
      <c r="AG7" s="59" t="s">
        <v>916</v>
      </c>
      <c r="AH7" s="59">
        <v>1000</v>
      </c>
      <c r="AI7" s="59"/>
      <c r="AJ7" s="691" t="s">
        <v>425</v>
      </c>
      <c r="AK7" s="103">
        <v>5</v>
      </c>
      <c r="AL7" s="103">
        <v>5</v>
      </c>
      <c r="AM7" s="103">
        <v>2004</v>
      </c>
      <c r="AN7" s="92" t="s">
        <v>917</v>
      </c>
      <c r="AO7" s="103"/>
      <c r="AP7" s="103" t="s">
        <v>918</v>
      </c>
      <c r="AQ7" s="103"/>
      <c r="AR7" s="103" t="s">
        <v>919</v>
      </c>
      <c r="AS7" s="94">
        <v>75</v>
      </c>
      <c r="AT7" s="103"/>
      <c r="AU7" s="103" t="s">
        <v>920</v>
      </c>
      <c r="AV7" s="103"/>
      <c r="AW7" s="103"/>
      <c r="AX7" s="103"/>
      <c r="AY7" s="103"/>
      <c r="AZ7" s="103" t="s">
        <v>921</v>
      </c>
      <c r="BA7" s="103">
        <v>15</v>
      </c>
      <c r="BB7" s="103"/>
      <c r="BC7" s="103" t="s">
        <v>402</v>
      </c>
      <c r="BD7" s="103"/>
      <c r="BE7" s="695">
        <v>0.16</v>
      </c>
    </row>
    <row r="8" spans="1:57" ht="15.95">
      <c r="A8" s="54" t="s">
        <v>922</v>
      </c>
      <c r="B8" s="54" t="s">
        <v>199</v>
      </c>
      <c r="C8" s="103" t="s">
        <v>274</v>
      </c>
      <c r="D8" s="103" t="str">
        <f>$AG$5</f>
        <v>MMBtu</v>
      </c>
      <c r="E8" s="34"/>
      <c r="F8" s="103"/>
      <c r="G8" s="103">
        <f>E2</f>
        <v>0</v>
      </c>
      <c r="H8" s="103"/>
      <c r="I8" s="103"/>
      <c r="J8" s="34"/>
      <c r="K8" s="34" t="s">
        <v>268</v>
      </c>
      <c r="L8" s="34"/>
      <c r="M8" s="34"/>
      <c r="N8" s="34"/>
      <c r="O8" s="34" t="s">
        <v>923</v>
      </c>
      <c r="P8" s="34" t="s">
        <v>924</v>
      </c>
      <c r="Q8" s="107" t="s">
        <v>925</v>
      </c>
      <c r="R8" s="34"/>
      <c r="S8" s="34"/>
      <c r="T8" s="34"/>
      <c r="U8" s="34"/>
      <c r="V8" s="31" t="s">
        <v>926</v>
      </c>
      <c r="W8" s="34"/>
      <c r="X8" s="34"/>
      <c r="Y8" s="34"/>
      <c r="Z8" s="34"/>
      <c r="AA8" s="34"/>
      <c r="AB8" s="34"/>
      <c r="AC8" s="34"/>
      <c r="AD8" s="34"/>
      <c r="AE8" s="34"/>
      <c r="AF8" s="34"/>
      <c r="AG8" s="60" t="s">
        <v>927</v>
      </c>
      <c r="AH8" s="59">
        <f>3.412/3.6</f>
        <v>0.94777777777777772</v>
      </c>
      <c r="AI8" s="59" t="s">
        <v>837</v>
      </c>
      <c r="AJ8" s="691" t="s">
        <v>928</v>
      </c>
      <c r="AK8" s="103">
        <v>6</v>
      </c>
      <c r="AL8" s="103">
        <v>6</v>
      </c>
      <c r="AM8" s="103">
        <v>2005</v>
      </c>
      <c r="AN8" s="92" t="s">
        <v>929</v>
      </c>
      <c r="AO8" s="103"/>
      <c r="AP8" s="103" t="s">
        <v>930</v>
      </c>
      <c r="AQ8" s="103"/>
      <c r="AR8" s="103" t="s">
        <v>931</v>
      </c>
      <c r="AS8" s="94">
        <v>90</v>
      </c>
      <c r="AT8" s="103"/>
      <c r="AU8" s="103"/>
      <c r="AV8" s="103"/>
      <c r="AW8" s="103"/>
      <c r="AX8" s="103"/>
      <c r="AY8" s="103"/>
      <c r="AZ8" s="103" t="s">
        <v>932</v>
      </c>
      <c r="BA8" s="103">
        <v>15</v>
      </c>
      <c r="BB8" s="103"/>
      <c r="BC8" s="103" t="s">
        <v>933</v>
      </c>
      <c r="BD8" s="103"/>
      <c r="BE8" s="695">
        <v>0.14000000000000001</v>
      </c>
    </row>
    <row r="9" spans="1:57" ht="15.95">
      <c r="A9" s="54" t="s">
        <v>934</v>
      </c>
      <c r="B9" s="54" t="s">
        <v>200</v>
      </c>
      <c r="C9" s="103" t="s">
        <v>275</v>
      </c>
      <c r="D9" s="103" t="str">
        <f>$AG$2</f>
        <v>kBtu</v>
      </c>
      <c r="E9" s="34"/>
      <c r="F9" s="86"/>
      <c r="G9" s="103" t="str">
        <f>E4</f>
        <v>Propane</v>
      </c>
      <c r="H9" s="86"/>
      <c r="I9" s="86"/>
      <c r="J9" s="34"/>
      <c r="K9" s="34" t="s">
        <v>117</v>
      </c>
      <c r="L9" s="34"/>
      <c r="M9" s="34"/>
      <c r="N9" s="34"/>
      <c r="O9" s="34" t="s">
        <v>120</v>
      </c>
      <c r="P9" s="34" t="s">
        <v>935</v>
      </c>
      <c r="Q9" s="107" t="s">
        <v>936</v>
      </c>
      <c r="R9" s="34"/>
      <c r="S9" s="34"/>
      <c r="T9" s="34"/>
      <c r="U9" s="34"/>
      <c r="V9" s="31" t="s">
        <v>904</v>
      </c>
      <c r="W9" s="34"/>
      <c r="X9" s="34"/>
      <c r="Y9" s="34"/>
      <c r="Z9" s="34"/>
      <c r="AA9" s="34"/>
      <c r="AB9" s="34"/>
      <c r="AC9" s="34"/>
      <c r="AD9" s="34"/>
      <c r="AE9" s="34"/>
      <c r="AF9" s="34"/>
      <c r="AG9" s="58" t="s">
        <v>937</v>
      </c>
      <c r="AH9" s="692">
        <v>1.03</v>
      </c>
      <c r="AI9" s="59" t="s">
        <v>837</v>
      </c>
      <c r="AJ9" s="691" t="s">
        <v>404</v>
      </c>
      <c r="AK9" s="103">
        <v>7</v>
      </c>
      <c r="AL9" s="103">
        <v>7</v>
      </c>
      <c r="AM9" s="103">
        <v>2006</v>
      </c>
      <c r="AN9" s="92" t="s">
        <v>938</v>
      </c>
      <c r="AO9" s="103"/>
      <c r="AP9" s="103" t="s">
        <v>939</v>
      </c>
      <c r="AQ9" s="103"/>
      <c r="AR9" s="103" t="s">
        <v>940</v>
      </c>
      <c r="AS9" s="94">
        <v>100</v>
      </c>
      <c r="AT9" s="103"/>
      <c r="AU9" s="103"/>
      <c r="AV9" s="103"/>
      <c r="AW9" s="103"/>
      <c r="AX9" s="103"/>
      <c r="AY9" s="103"/>
      <c r="AZ9" s="103" t="s">
        <v>941</v>
      </c>
      <c r="BA9" s="103">
        <v>22</v>
      </c>
      <c r="BB9" s="103"/>
      <c r="BC9" s="103"/>
      <c r="BD9" s="103"/>
      <c r="BE9" s="695">
        <v>0.12</v>
      </c>
    </row>
    <row r="10" spans="1:57" ht="15.95">
      <c r="A10" s="54" t="s">
        <v>942</v>
      </c>
      <c r="B10" s="54" t="s">
        <v>201</v>
      </c>
      <c r="C10" s="103" t="s">
        <v>278</v>
      </c>
      <c r="D10" s="103" t="str">
        <f>$AG$5</f>
        <v>MMBtu</v>
      </c>
      <c r="E10" s="34"/>
      <c r="F10" s="103"/>
      <c r="G10" s="103" t="str">
        <f>E5</f>
        <v>Coal</v>
      </c>
      <c r="H10" s="103"/>
      <c r="I10" s="103"/>
      <c r="J10" s="34"/>
      <c r="K10" s="34" t="s">
        <v>119</v>
      </c>
      <c r="L10" s="34"/>
      <c r="M10" s="34"/>
      <c r="N10" s="34"/>
      <c r="O10" s="34" t="s">
        <v>911</v>
      </c>
      <c r="P10" s="34"/>
      <c r="Q10" s="107" t="s">
        <v>943</v>
      </c>
      <c r="R10" s="34"/>
      <c r="S10" s="34"/>
      <c r="T10" s="34"/>
      <c r="U10" s="34"/>
      <c r="V10" s="34"/>
      <c r="W10" s="34"/>
      <c r="X10" s="34"/>
      <c r="Y10" s="34"/>
      <c r="Z10" s="34"/>
      <c r="AA10" s="34"/>
      <c r="AB10" s="34"/>
      <c r="AC10" s="34"/>
      <c r="AD10" s="34"/>
      <c r="AE10" s="34"/>
      <c r="AF10" s="34"/>
      <c r="AG10" s="59" t="s">
        <v>944</v>
      </c>
      <c r="AH10" s="59">
        <f>AH9*10^6</f>
        <v>1030000</v>
      </c>
      <c r="AI10" s="59" t="s">
        <v>837</v>
      </c>
      <c r="AJ10" s="691" t="s">
        <v>407</v>
      </c>
      <c r="AK10" s="103">
        <v>8</v>
      </c>
      <c r="AL10" s="103">
        <v>8</v>
      </c>
      <c r="AM10" s="103">
        <v>2007</v>
      </c>
      <c r="AN10" s="92" t="s">
        <v>945</v>
      </c>
      <c r="AO10" s="103"/>
      <c r="AP10" s="103" t="s">
        <v>946</v>
      </c>
      <c r="AQ10" s="103"/>
      <c r="AR10" s="103" t="s">
        <v>120</v>
      </c>
      <c r="AS10" s="103"/>
      <c r="AT10" s="103"/>
      <c r="AU10" s="103"/>
      <c r="AV10" s="103"/>
      <c r="AW10" s="103"/>
      <c r="AX10" s="103"/>
      <c r="AY10" s="103"/>
      <c r="AZ10" s="103" t="s">
        <v>947</v>
      </c>
      <c r="BA10" s="103">
        <v>25</v>
      </c>
      <c r="BB10" s="103"/>
      <c r="BC10" s="103"/>
      <c r="BD10" s="103"/>
      <c r="BE10" s="695">
        <v>0.1</v>
      </c>
    </row>
    <row r="11" spans="1:57" ht="15.95">
      <c r="A11" s="54" t="s">
        <v>948</v>
      </c>
      <c r="B11" s="54" t="s">
        <v>100</v>
      </c>
      <c r="C11" s="103" t="s">
        <v>279</v>
      </c>
      <c r="D11" s="103" t="str">
        <f>$AG$2</f>
        <v>kBtu</v>
      </c>
      <c r="E11" s="34"/>
      <c r="F11" s="103"/>
      <c r="G11" s="103" t="str">
        <f>E6</f>
        <v>Other</v>
      </c>
      <c r="H11" s="103"/>
      <c r="I11" s="103"/>
      <c r="J11" s="34"/>
      <c r="K11" s="34" t="s">
        <v>120</v>
      </c>
      <c r="L11" s="34"/>
      <c r="M11" s="34"/>
      <c r="N11" s="34"/>
      <c r="O11" s="34"/>
      <c r="P11" s="34"/>
      <c r="Q11" s="107" t="s">
        <v>949</v>
      </c>
      <c r="R11" s="34"/>
      <c r="S11" s="34"/>
      <c r="T11" s="34"/>
      <c r="U11" s="34"/>
      <c r="V11" s="34"/>
      <c r="W11" s="34"/>
      <c r="X11" s="34"/>
      <c r="Y11" s="34"/>
      <c r="Z11" s="34"/>
      <c r="AA11" s="34"/>
      <c r="AB11" s="34"/>
      <c r="AC11" s="34"/>
      <c r="AD11" s="34"/>
      <c r="AE11" s="34"/>
      <c r="AF11" s="34"/>
      <c r="AG11" s="59" t="s">
        <v>265</v>
      </c>
      <c r="AH11" s="693">
        <v>1.194</v>
      </c>
      <c r="AI11" s="59" t="s">
        <v>950</v>
      </c>
      <c r="AJ11" s="691" t="s">
        <v>951</v>
      </c>
      <c r="AK11" s="103">
        <v>9</v>
      </c>
      <c r="AL11" s="103">
        <v>9</v>
      </c>
      <c r="AM11" s="103">
        <v>2008</v>
      </c>
      <c r="AN11" s="92" t="s">
        <v>952</v>
      </c>
      <c r="AO11" s="103"/>
      <c r="AP11" s="103" t="s">
        <v>953</v>
      </c>
      <c r="AQ11" s="103"/>
      <c r="AR11" s="103"/>
      <c r="AS11" s="103"/>
      <c r="AT11" s="103"/>
      <c r="AU11" s="103"/>
      <c r="AV11" s="103"/>
      <c r="AW11" s="103"/>
      <c r="AX11" s="103"/>
      <c r="AY11" s="103"/>
      <c r="AZ11" s="103" t="s">
        <v>954</v>
      </c>
      <c r="BA11" s="103">
        <v>15</v>
      </c>
      <c r="BB11" s="103"/>
      <c r="BC11" s="103"/>
      <c r="BD11" s="103"/>
      <c r="BE11" s="695">
        <v>0.09</v>
      </c>
    </row>
    <row r="12" spans="1:57" ht="15.95">
      <c r="A12" s="54" t="s">
        <v>955</v>
      </c>
      <c r="B12" s="54" t="s">
        <v>202</v>
      </c>
      <c r="C12" s="103" t="s">
        <v>116</v>
      </c>
      <c r="D12" s="103" t="s">
        <v>819</v>
      </c>
      <c r="E12" s="34"/>
      <c r="F12" s="103"/>
      <c r="G12" s="103"/>
      <c r="H12" s="103"/>
      <c r="I12" s="103"/>
      <c r="J12" s="34"/>
      <c r="K12" s="34"/>
      <c r="L12" s="34"/>
      <c r="M12" s="34"/>
      <c r="N12" s="34"/>
      <c r="O12" s="34"/>
      <c r="P12" s="34"/>
      <c r="Q12" s="107" t="s">
        <v>956</v>
      </c>
      <c r="R12" s="34"/>
      <c r="S12" s="34"/>
      <c r="T12" s="34"/>
      <c r="U12" s="34"/>
      <c r="V12" s="34"/>
      <c r="W12" s="34"/>
      <c r="X12" s="34"/>
      <c r="Y12" s="34"/>
      <c r="Z12" s="34"/>
      <c r="AA12" s="34"/>
      <c r="AB12" s="34"/>
      <c r="AC12" s="34"/>
      <c r="AD12" s="34"/>
      <c r="AE12" s="34"/>
      <c r="AF12" s="34"/>
      <c r="AG12" s="59" t="s">
        <v>957</v>
      </c>
      <c r="AH12" s="693">
        <f>ROUND(0.945684+0.2184-0.0231075,4)</f>
        <v>1.141</v>
      </c>
      <c r="AI12" s="59" t="s">
        <v>958</v>
      </c>
      <c r="AJ12" s="691" t="s">
        <v>766</v>
      </c>
      <c r="AK12" s="103">
        <v>10</v>
      </c>
      <c r="AL12" s="103">
        <v>10</v>
      </c>
      <c r="AM12" s="103">
        <v>2009</v>
      </c>
      <c r="AN12" s="92" t="s">
        <v>959</v>
      </c>
      <c r="AO12" s="103"/>
      <c r="AP12" s="103" t="s">
        <v>960</v>
      </c>
      <c r="AQ12" s="103"/>
      <c r="AR12" s="103"/>
      <c r="AS12" s="103"/>
      <c r="AT12" s="103"/>
      <c r="AU12" s="103"/>
      <c r="AV12" s="103"/>
      <c r="AW12" s="103"/>
      <c r="AX12" s="103"/>
      <c r="AY12" s="103"/>
      <c r="AZ12" s="103" t="s">
        <v>426</v>
      </c>
      <c r="BA12" s="103">
        <v>21</v>
      </c>
      <c r="BB12" s="103"/>
      <c r="BC12" s="103"/>
      <c r="BD12" s="103"/>
      <c r="BE12" s="695">
        <v>0.08</v>
      </c>
    </row>
    <row r="13" spans="1:57" ht="15.95">
      <c r="A13" s="54" t="s">
        <v>961</v>
      </c>
      <c r="B13" s="54" t="s">
        <v>203</v>
      </c>
      <c r="C13" s="103"/>
      <c r="D13" s="103"/>
      <c r="E13" s="34"/>
      <c r="F13" s="103"/>
      <c r="G13" s="103"/>
      <c r="H13" s="103"/>
      <c r="I13" s="103"/>
      <c r="J13" s="34"/>
      <c r="K13" s="34"/>
      <c r="L13" s="34"/>
      <c r="M13" s="34"/>
      <c r="N13" s="34"/>
      <c r="O13" s="34"/>
      <c r="P13" s="34"/>
      <c r="Q13" s="107" t="s">
        <v>962</v>
      </c>
      <c r="R13" s="34"/>
      <c r="S13" s="34"/>
      <c r="T13" s="34"/>
      <c r="U13" s="34"/>
      <c r="V13" s="34"/>
      <c r="W13" s="34"/>
      <c r="X13" s="34"/>
      <c r="Y13" s="34"/>
      <c r="Z13" s="34"/>
      <c r="AA13" s="34"/>
      <c r="AB13" s="34"/>
      <c r="AC13" s="34"/>
      <c r="AD13" s="34"/>
      <c r="AE13" s="34"/>
      <c r="AF13" s="34"/>
      <c r="AG13" s="59" t="s">
        <v>963</v>
      </c>
      <c r="AH13" s="693">
        <f>ROUND(0.912061+0.267434-0.0231075,4)</f>
        <v>1.1564000000000001</v>
      </c>
      <c r="AI13" s="59" t="s">
        <v>958</v>
      </c>
      <c r="AJ13" s="691" t="s">
        <v>964</v>
      </c>
      <c r="AK13" s="103">
        <v>11</v>
      </c>
      <c r="AL13" s="103">
        <v>11</v>
      </c>
      <c r="AM13" s="103">
        <v>2010</v>
      </c>
      <c r="AN13" s="92" t="s">
        <v>965</v>
      </c>
      <c r="AO13" s="103"/>
      <c r="AP13" s="103" t="s">
        <v>120</v>
      </c>
      <c r="AQ13" s="103"/>
      <c r="AR13" s="103"/>
      <c r="AS13" s="103"/>
      <c r="AT13" s="103"/>
      <c r="AU13" s="103"/>
      <c r="AV13" s="103"/>
      <c r="AW13" s="103"/>
      <c r="AX13" s="103"/>
      <c r="AY13" s="103"/>
      <c r="AZ13" s="103" t="s">
        <v>966</v>
      </c>
      <c r="BA13" s="103">
        <v>18</v>
      </c>
      <c r="BB13" s="103"/>
      <c r="BC13" s="103"/>
      <c r="BD13" s="103"/>
      <c r="BE13" s="695">
        <v>7.0000000000000007E-2</v>
      </c>
    </row>
    <row r="14" spans="1:57" ht="15.95">
      <c r="A14" s="54" t="s">
        <v>967</v>
      </c>
      <c r="B14" s="54" t="s">
        <v>101</v>
      </c>
      <c r="C14" s="103"/>
      <c r="D14" s="103"/>
      <c r="E14" s="34"/>
      <c r="F14" s="103"/>
      <c r="G14" s="103"/>
      <c r="H14" s="103"/>
      <c r="I14" s="103"/>
      <c r="J14" s="34"/>
      <c r="K14" s="34"/>
      <c r="L14" s="34"/>
      <c r="M14" s="34"/>
      <c r="N14" s="34"/>
      <c r="O14" s="34"/>
      <c r="P14" s="34"/>
      <c r="Q14" s="107" t="s">
        <v>968</v>
      </c>
      <c r="R14" s="34"/>
      <c r="S14" s="34"/>
      <c r="T14" s="34"/>
      <c r="U14" s="34"/>
      <c r="V14" s="34"/>
      <c r="W14" s="34"/>
      <c r="X14" s="34"/>
      <c r="Y14" s="34"/>
      <c r="Z14" s="34"/>
      <c r="AA14" s="34"/>
      <c r="AB14" s="34"/>
      <c r="AC14" s="34"/>
      <c r="AD14" s="34"/>
      <c r="AE14" s="34"/>
      <c r="AF14" s="34"/>
      <c r="AG14" s="59" t="s">
        <v>969</v>
      </c>
      <c r="AH14" s="693">
        <f>ROUND(0.861897+0.333354-0.0231075,4)</f>
        <v>1.1720999999999999</v>
      </c>
      <c r="AI14" s="59" t="s">
        <v>958</v>
      </c>
      <c r="AJ14" s="691" t="s">
        <v>970</v>
      </c>
      <c r="AK14" s="103">
        <v>12</v>
      </c>
      <c r="AL14" s="103">
        <v>12</v>
      </c>
      <c r="AM14" s="103">
        <v>2011</v>
      </c>
      <c r="AN14" s="92" t="s">
        <v>971</v>
      </c>
      <c r="AO14" s="103"/>
      <c r="AP14" s="103"/>
      <c r="AQ14" s="103"/>
      <c r="AR14" s="103"/>
      <c r="AS14" s="103"/>
      <c r="AT14" s="103"/>
      <c r="AU14" s="103"/>
      <c r="AV14" s="103"/>
      <c r="AW14" s="103"/>
      <c r="AX14" s="103"/>
      <c r="AY14" s="103"/>
      <c r="AZ14" s="103" t="s">
        <v>972</v>
      </c>
      <c r="BA14" s="103">
        <v>13</v>
      </c>
      <c r="BB14" s="103"/>
      <c r="BC14" s="103"/>
      <c r="BD14" s="103"/>
      <c r="BE14" s="695">
        <v>0.06</v>
      </c>
    </row>
    <row r="15" spans="1:57" ht="15.95">
      <c r="A15" s="54" t="s">
        <v>973</v>
      </c>
      <c r="B15" s="54" t="s">
        <v>102</v>
      </c>
      <c r="C15" s="103"/>
      <c r="D15" s="103"/>
      <c r="E15" s="34"/>
      <c r="F15" s="103"/>
      <c r="G15" s="103"/>
      <c r="H15" s="103"/>
      <c r="I15" s="103"/>
      <c r="J15" s="34"/>
      <c r="K15" s="34"/>
      <c r="L15" s="34"/>
      <c r="M15" s="34"/>
      <c r="N15" s="34"/>
      <c r="O15" s="34"/>
      <c r="P15" s="34"/>
      <c r="Q15" s="107" t="s">
        <v>974</v>
      </c>
      <c r="R15" s="34"/>
      <c r="S15" s="34"/>
      <c r="T15" s="34"/>
      <c r="U15" s="34"/>
      <c r="V15" s="34"/>
      <c r="W15" s="34"/>
      <c r="X15" s="34"/>
      <c r="Y15" s="34"/>
      <c r="Z15" s="34"/>
      <c r="AA15" s="34"/>
      <c r="AB15" s="34"/>
      <c r="AC15" s="34"/>
      <c r="AD15" s="34"/>
      <c r="AE15" s="34"/>
      <c r="AF15" s="34"/>
      <c r="AG15" s="59" t="s">
        <v>975</v>
      </c>
      <c r="AH15" s="693">
        <f>ROUND(0.945684,4)</f>
        <v>0.94569999999999999</v>
      </c>
      <c r="AI15" s="59" t="s">
        <v>976</v>
      </c>
      <c r="AJ15" s="691" t="s">
        <v>120</v>
      </c>
      <c r="AK15" s="103">
        <v>13</v>
      </c>
      <c r="AL15" s="103"/>
      <c r="AM15" s="103">
        <v>2012</v>
      </c>
      <c r="AN15" s="92" t="s">
        <v>977</v>
      </c>
      <c r="AO15" s="103"/>
      <c r="AP15" s="103"/>
      <c r="AQ15" s="103"/>
      <c r="AR15" s="103"/>
      <c r="AS15" s="103"/>
      <c r="AT15" s="103"/>
      <c r="AU15" s="103"/>
      <c r="AV15" s="103"/>
      <c r="AW15" s="103"/>
      <c r="AX15" s="103"/>
      <c r="AY15" s="103"/>
      <c r="AZ15" s="103" t="s">
        <v>978</v>
      </c>
      <c r="BA15" s="103">
        <v>13</v>
      </c>
      <c r="BB15" s="103"/>
      <c r="BC15" s="103"/>
      <c r="BD15" s="103"/>
      <c r="BE15" s="695">
        <v>0.05</v>
      </c>
    </row>
    <row r="16" spans="1:57" ht="15.95">
      <c r="A16" s="54" t="s">
        <v>979</v>
      </c>
      <c r="B16" s="54"/>
      <c r="C16" s="103"/>
      <c r="D16" s="103"/>
      <c r="E16" s="34"/>
      <c r="F16" s="103"/>
      <c r="G16" s="103"/>
      <c r="H16" s="103"/>
      <c r="I16" s="103"/>
      <c r="J16" s="34"/>
      <c r="K16" s="34"/>
      <c r="L16" s="34"/>
      <c r="M16" s="34"/>
      <c r="N16" s="34"/>
      <c r="O16" s="34"/>
      <c r="P16" s="34"/>
      <c r="Q16" s="107" t="s">
        <v>980</v>
      </c>
      <c r="R16" s="34"/>
      <c r="S16" s="34"/>
      <c r="T16" s="34"/>
      <c r="U16" s="34"/>
      <c r="V16" s="34"/>
      <c r="W16" s="34"/>
      <c r="X16" s="34"/>
      <c r="Y16" s="34"/>
      <c r="Z16" s="34"/>
      <c r="AA16" s="34"/>
      <c r="AB16" s="34"/>
      <c r="AC16" s="34"/>
      <c r="AD16" s="34"/>
      <c r="AE16" s="34"/>
      <c r="AF16" s="34"/>
      <c r="AG16" s="59" t="s">
        <v>981</v>
      </c>
      <c r="AH16" s="693">
        <f>ROUND(0.912061,4)</f>
        <v>0.91210000000000002</v>
      </c>
      <c r="AI16" s="59" t="s">
        <v>976</v>
      </c>
      <c r="AJ16" s="691"/>
      <c r="AK16" s="103">
        <v>14</v>
      </c>
      <c r="AL16" s="103"/>
      <c r="AM16" s="103">
        <v>2013</v>
      </c>
      <c r="AN16" s="92" t="s">
        <v>982</v>
      </c>
      <c r="AO16" s="103"/>
      <c r="AP16" s="103"/>
      <c r="AQ16" s="103"/>
      <c r="AR16" s="103"/>
      <c r="AS16" s="103"/>
      <c r="AT16" s="103"/>
      <c r="AU16" s="103"/>
      <c r="AV16" s="103"/>
      <c r="AW16" s="103"/>
      <c r="AX16" s="103"/>
      <c r="AY16" s="103"/>
      <c r="AZ16" s="103" t="s">
        <v>983</v>
      </c>
      <c r="BA16" s="103">
        <v>20</v>
      </c>
      <c r="BB16" s="103"/>
      <c r="BC16" s="103"/>
      <c r="BD16" s="103"/>
      <c r="BE16" s="695">
        <v>0.04</v>
      </c>
    </row>
    <row r="17" spans="1:57" ht="15.95">
      <c r="A17" s="54" t="s">
        <v>984</v>
      </c>
      <c r="B17" s="54"/>
      <c r="C17" s="103"/>
      <c r="D17" s="103"/>
      <c r="E17" s="34"/>
      <c r="F17" s="103"/>
      <c r="G17" s="103"/>
      <c r="H17" s="103"/>
      <c r="I17" s="103"/>
      <c r="J17" s="34"/>
      <c r="K17" s="34"/>
      <c r="L17" s="34"/>
      <c r="M17" s="34"/>
      <c r="N17" s="34"/>
      <c r="O17" s="34"/>
      <c r="P17" s="34"/>
      <c r="Q17" s="34"/>
      <c r="R17" s="34"/>
      <c r="S17" s="34"/>
      <c r="T17" s="34"/>
      <c r="U17" s="34"/>
      <c r="V17" s="34"/>
      <c r="W17" s="34"/>
      <c r="X17" s="34"/>
      <c r="Y17" s="34"/>
      <c r="Z17" s="34"/>
      <c r="AA17" s="34"/>
      <c r="AB17" s="34"/>
      <c r="AC17" s="34"/>
      <c r="AD17" s="34"/>
      <c r="AE17" s="34"/>
      <c r="AF17" s="34"/>
      <c r="AG17" s="59" t="s">
        <v>985</v>
      </c>
      <c r="AH17" s="693">
        <f>ROUND(0.861897,4)</f>
        <v>0.8619</v>
      </c>
      <c r="AI17" s="59" t="s">
        <v>976</v>
      </c>
      <c r="AJ17" s="691"/>
      <c r="AK17" s="103">
        <v>15</v>
      </c>
      <c r="AL17" s="103"/>
      <c r="AM17" s="103">
        <v>2014</v>
      </c>
      <c r="AN17" s="92" t="s">
        <v>986</v>
      </c>
      <c r="AO17" s="103"/>
      <c r="AP17" s="103"/>
      <c r="AQ17" s="103"/>
      <c r="AR17" s="103"/>
      <c r="AS17" s="103"/>
      <c r="AT17" s="103"/>
      <c r="AU17" s="103"/>
      <c r="AV17" s="103"/>
      <c r="AW17" s="103"/>
      <c r="AX17" s="103"/>
      <c r="AY17" s="103"/>
      <c r="AZ17" s="103" t="s">
        <v>987</v>
      </c>
      <c r="BA17" s="103">
        <v>10</v>
      </c>
      <c r="BB17" s="103"/>
      <c r="BC17" s="103"/>
      <c r="BD17" s="103"/>
      <c r="BE17" s="695">
        <v>0.03</v>
      </c>
    </row>
    <row r="18" spans="1:57" ht="15.95">
      <c r="A18" s="54" t="s">
        <v>988</v>
      </c>
      <c r="B18" s="54"/>
      <c r="C18" s="103"/>
      <c r="D18" s="103"/>
      <c r="E18" s="34"/>
      <c r="F18" s="103"/>
      <c r="G18" s="103"/>
      <c r="H18" s="103"/>
      <c r="I18" s="103"/>
      <c r="J18" s="34"/>
      <c r="K18" s="34"/>
      <c r="L18" s="34"/>
      <c r="M18" s="34"/>
      <c r="N18" s="34"/>
      <c r="O18" s="34"/>
      <c r="P18" s="34"/>
      <c r="Q18" s="34"/>
      <c r="R18" s="34"/>
      <c r="S18" s="34"/>
      <c r="T18" s="34"/>
      <c r="U18" s="34"/>
      <c r="V18" s="34"/>
      <c r="W18" s="34"/>
      <c r="X18" s="34"/>
      <c r="Y18" s="34"/>
      <c r="Z18" s="34"/>
      <c r="AA18" s="34"/>
      <c r="AB18" s="34"/>
      <c r="AC18" s="34"/>
      <c r="AD18" s="34"/>
      <c r="AE18" s="34"/>
      <c r="AF18" s="34"/>
      <c r="AG18" s="72" t="s">
        <v>271</v>
      </c>
      <c r="AH18" s="74">
        <v>19622</v>
      </c>
      <c r="AI18" s="59" t="s">
        <v>989</v>
      </c>
      <c r="AJ18" s="691"/>
      <c r="AK18" s="103">
        <v>16</v>
      </c>
      <c r="AL18" s="103"/>
      <c r="AM18" s="103">
        <v>2015</v>
      </c>
      <c r="AN18" s="92" t="s">
        <v>990</v>
      </c>
      <c r="AO18" s="103"/>
      <c r="AP18" s="103"/>
      <c r="AQ18" s="103"/>
      <c r="AR18" s="103"/>
      <c r="AS18" s="103"/>
      <c r="AT18" s="103"/>
      <c r="AU18" s="103"/>
      <c r="AV18" s="103"/>
      <c r="AW18" s="103"/>
      <c r="AX18" s="103"/>
      <c r="AY18" s="103"/>
      <c r="AZ18" s="103" t="s">
        <v>991</v>
      </c>
      <c r="BA18" s="103">
        <v>25</v>
      </c>
      <c r="BB18" s="103"/>
      <c r="BC18" s="103"/>
      <c r="BD18" s="103"/>
      <c r="BE18" s="695">
        <v>0.02</v>
      </c>
    </row>
    <row r="19" spans="1:57" ht="15.95">
      <c r="A19" s="54" t="s">
        <v>992</v>
      </c>
      <c r="B19" s="54"/>
      <c r="C19" s="103"/>
      <c r="D19" s="103"/>
      <c r="E19" s="34"/>
      <c r="F19" s="103"/>
      <c r="G19" s="103"/>
      <c r="H19" s="103"/>
      <c r="I19" s="103"/>
      <c r="J19" s="34"/>
      <c r="K19" s="34"/>
      <c r="L19" s="34"/>
      <c r="M19" s="34"/>
      <c r="N19" s="34"/>
      <c r="O19" s="34"/>
      <c r="P19" s="34"/>
      <c r="Q19" s="34"/>
      <c r="R19" s="34"/>
      <c r="S19" s="34"/>
      <c r="T19" s="34"/>
      <c r="U19" s="34"/>
      <c r="V19" s="34"/>
      <c r="W19" s="34"/>
      <c r="X19" s="34"/>
      <c r="Y19" s="34"/>
      <c r="Z19" s="34"/>
      <c r="AA19" s="34"/>
      <c r="AB19" s="34"/>
      <c r="AC19" s="34"/>
      <c r="AD19" s="34"/>
      <c r="AE19" s="34"/>
      <c r="AF19" s="34"/>
      <c r="AG19" s="59" t="s">
        <v>819</v>
      </c>
      <c r="AH19" s="59">
        <v>135</v>
      </c>
      <c r="AI19" s="59" t="s">
        <v>837</v>
      </c>
      <c r="AJ19" s="691"/>
      <c r="AK19" s="103">
        <v>17</v>
      </c>
      <c r="AL19" s="103"/>
      <c r="AM19" s="103">
        <v>2016</v>
      </c>
      <c r="AN19" s="92" t="s">
        <v>993</v>
      </c>
      <c r="AO19" s="103"/>
      <c r="AP19" s="103"/>
      <c r="AQ19" s="103"/>
      <c r="AR19" s="103"/>
      <c r="AS19" s="103"/>
      <c r="AT19" s="103"/>
      <c r="AU19" s="103"/>
      <c r="AV19" s="103"/>
      <c r="AW19" s="103"/>
      <c r="AX19" s="103"/>
      <c r="AY19" s="103"/>
      <c r="AZ19" s="103" t="s">
        <v>994</v>
      </c>
      <c r="BA19" s="103">
        <v>25</v>
      </c>
      <c r="BB19" s="103"/>
      <c r="BC19" s="103"/>
      <c r="BD19" s="103"/>
      <c r="BE19" s="695">
        <v>0.01</v>
      </c>
    </row>
    <row r="20" spans="1:57" ht="15.95">
      <c r="A20" s="54" t="s">
        <v>995</v>
      </c>
      <c r="B20" s="54" t="s">
        <v>996</v>
      </c>
      <c r="C20" s="103"/>
      <c r="D20" s="103"/>
      <c r="E20" s="34"/>
      <c r="F20" s="103"/>
      <c r="G20" s="103"/>
      <c r="H20" s="103"/>
      <c r="I20" s="103"/>
      <c r="J20" s="34"/>
      <c r="K20" s="34"/>
      <c r="L20" s="34"/>
      <c r="M20" s="34"/>
      <c r="N20" s="34"/>
      <c r="O20" s="34"/>
      <c r="P20" s="34"/>
      <c r="Q20" s="34"/>
      <c r="R20" s="34"/>
      <c r="S20" s="34"/>
      <c r="T20" s="34"/>
      <c r="U20" s="34"/>
      <c r="V20" s="34"/>
      <c r="W20" s="34"/>
      <c r="X20" s="34"/>
      <c r="Y20" s="34"/>
      <c r="Z20" s="34"/>
      <c r="AA20" s="34"/>
      <c r="AB20" s="34"/>
      <c r="AC20" s="34"/>
      <c r="AD20" s="34"/>
      <c r="AE20" s="34"/>
      <c r="AF20" s="34"/>
      <c r="AG20" s="59" t="s">
        <v>267</v>
      </c>
      <c r="AH20" s="59">
        <v>139</v>
      </c>
      <c r="AI20" s="59" t="s">
        <v>837</v>
      </c>
      <c r="AJ20" s="691"/>
      <c r="AK20" s="103">
        <v>18</v>
      </c>
      <c r="AL20" s="103"/>
      <c r="AM20" s="103">
        <v>2017</v>
      </c>
      <c r="AN20" s="92" t="s">
        <v>997</v>
      </c>
      <c r="AO20" s="103"/>
      <c r="AP20" s="103"/>
      <c r="AQ20" s="103"/>
      <c r="AR20" s="103"/>
      <c r="AS20" s="103"/>
      <c r="AT20" s="103"/>
      <c r="AU20" s="103"/>
      <c r="AV20" s="103"/>
      <c r="AW20" s="103"/>
      <c r="AX20" s="103"/>
      <c r="AY20" s="103"/>
      <c r="AZ20" s="103" t="s">
        <v>998</v>
      </c>
      <c r="BA20" s="103">
        <v>20</v>
      </c>
      <c r="BB20" s="103"/>
      <c r="BC20" s="103"/>
      <c r="BD20" s="103"/>
      <c r="BE20" s="695">
        <v>0</v>
      </c>
    </row>
    <row r="21" spans="1:57" ht="15.95">
      <c r="A21" s="54" t="s">
        <v>999</v>
      </c>
      <c r="B21" s="54" t="s">
        <v>647</v>
      </c>
      <c r="C21" s="103"/>
      <c r="D21" s="103"/>
      <c r="E21" s="34"/>
      <c r="F21" s="103"/>
      <c r="G21" s="103"/>
      <c r="H21" s="103"/>
      <c r="I21" s="103"/>
      <c r="J21" s="34"/>
      <c r="K21" s="34"/>
      <c r="L21" s="34"/>
      <c r="M21" s="34"/>
      <c r="N21" s="34"/>
      <c r="O21" s="34"/>
      <c r="P21" s="34"/>
      <c r="Q21" s="34"/>
      <c r="R21" s="34"/>
      <c r="S21" s="34"/>
      <c r="T21" s="34"/>
      <c r="U21" s="34"/>
      <c r="V21" s="34"/>
      <c r="W21" s="34"/>
      <c r="X21" s="34"/>
      <c r="Y21" s="34"/>
      <c r="Z21" s="34"/>
      <c r="AA21" s="34"/>
      <c r="AB21" s="34"/>
      <c r="AC21" s="34"/>
      <c r="AD21" s="34"/>
      <c r="AE21" s="34"/>
      <c r="AF21" s="34"/>
      <c r="AG21" s="59" t="s">
        <v>1000</v>
      </c>
      <c r="AH21" s="59">
        <v>141.80000000000001</v>
      </c>
      <c r="AI21" s="58" t="s">
        <v>1001</v>
      </c>
      <c r="AJ21" s="691"/>
      <c r="AK21" s="103">
        <v>19</v>
      </c>
      <c r="AL21" s="103"/>
      <c r="AM21" s="103">
        <v>2018</v>
      </c>
      <c r="AN21" s="92" t="s">
        <v>334</v>
      </c>
      <c r="AO21" s="103"/>
      <c r="AP21" s="103"/>
      <c r="AQ21" s="103"/>
      <c r="AR21" s="103"/>
      <c r="AS21" s="103"/>
      <c r="AT21" s="103"/>
      <c r="AU21" s="103"/>
      <c r="AV21" s="103"/>
      <c r="AW21" s="103"/>
      <c r="AX21" s="103"/>
      <c r="AY21" s="103"/>
      <c r="AZ21" s="103" t="s">
        <v>1002</v>
      </c>
      <c r="BA21" s="103">
        <v>15</v>
      </c>
      <c r="BB21" s="103"/>
      <c r="BC21" s="103"/>
      <c r="BD21" s="103"/>
      <c r="BE21" s="103"/>
    </row>
    <row r="22" spans="1:57" ht="15.95">
      <c r="A22" s="54" t="s">
        <v>1003</v>
      </c>
      <c r="B22" s="54" t="s">
        <v>104</v>
      </c>
      <c r="C22" s="103"/>
      <c r="D22" s="103"/>
      <c r="E22" s="34"/>
      <c r="F22" s="103"/>
      <c r="G22" s="103"/>
      <c r="H22" s="103"/>
      <c r="I22" s="103"/>
      <c r="J22" s="34"/>
      <c r="K22" s="34"/>
      <c r="L22" s="34"/>
      <c r="M22" s="34"/>
      <c r="N22" s="34"/>
      <c r="O22" s="34"/>
      <c r="P22" s="34"/>
      <c r="Q22" s="34"/>
      <c r="R22" s="34"/>
      <c r="S22" s="34"/>
      <c r="T22" s="34"/>
      <c r="U22" s="34"/>
      <c r="V22" s="34"/>
      <c r="W22" s="34"/>
      <c r="X22" s="34"/>
      <c r="Y22" s="34"/>
      <c r="Z22" s="34"/>
      <c r="AA22" s="34"/>
      <c r="AB22" s="34"/>
      <c r="AC22" s="34"/>
      <c r="AD22" s="34"/>
      <c r="AE22" s="34"/>
      <c r="AF22" s="34"/>
      <c r="AG22" s="59" t="s">
        <v>1004</v>
      </c>
      <c r="AH22" s="59">
        <v>146</v>
      </c>
      <c r="AI22" s="59" t="s">
        <v>837</v>
      </c>
      <c r="AJ22" s="691"/>
      <c r="AK22" s="103">
        <v>20</v>
      </c>
      <c r="AL22" s="103"/>
      <c r="AM22" s="103">
        <v>2019</v>
      </c>
      <c r="AN22" s="92" t="s">
        <v>1005</v>
      </c>
      <c r="AO22" s="103"/>
      <c r="AP22" s="103"/>
      <c r="AQ22" s="103"/>
      <c r="AR22" s="103"/>
      <c r="AS22" s="103"/>
      <c r="AT22" s="103"/>
      <c r="AU22" s="103"/>
      <c r="AV22" s="103"/>
      <c r="AW22" s="103"/>
      <c r="AX22" s="103"/>
      <c r="AY22" s="103"/>
      <c r="AZ22" s="103" t="s">
        <v>1006</v>
      </c>
      <c r="BA22" s="103">
        <v>20</v>
      </c>
      <c r="BB22" s="103"/>
      <c r="BC22" s="103"/>
      <c r="BD22" s="103"/>
      <c r="BE22" s="103"/>
    </row>
    <row r="23" spans="1:57" ht="15.95">
      <c r="A23" s="54" t="s">
        <v>1007</v>
      </c>
      <c r="B23" s="54"/>
      <c r="C23" s="103"/>
      <c r="D23" s="103"/>
      <c r="E23" s="34"/>
      <c r="F23" s="103"/>
      <c r="G23" s="103"/>
      <c r="H23" s="103"/>
      <c r="I23" s="103"/>
      <c r="J23" s="34"/>
      <c r="K23" s="34"/>
      <c r="L23" s="34"/>
      <c r="M23" s="34"/>
      <c r="N23" s="34"/>
      <c r="O23" s="34"/>
      <c r="P23" s="34"/>
      <c r="Q23" s="34"/>
      <c r="R23" s="34"/>
      <c r="S23" s="34"/>
      <c r="T23" s="34"/>
      <c r="U23" s="34"/>
      <c r="V23" s="34"/>
      <c r="W23" s="34"/>
      <c r="X23" s="34"/>
      <c r="Y23" s="34"/>
      <c r="Z23" s="34"/>
      <c r="AA23" s="34"/>
      <c r="AB23" s="34"/>
      <c r="AC23" s="34"/>
      <c r="AD23" s="34"/>
      <c r="AE23" s="34"/>
      <c r="AF23" s="34"/>
      <c r="AG23" s="59" t="s">
        <v>1008</v>
      </c>
      <c r="AH23" s="59">
        <v>148</v>
      </c>
      <c r="AI23" s="59" t="s">
        <v>837</v>
      </c>
      <c r="AJ23" s="691"/>
      <c r="AK23" s="103">
        <v>21</v>
      </c>
      <c r="AL23" s="103"/>
      <c r="AM23" s="103">
        <v>2020</v>
      </c>
      <c r="AN23" s="92" t="s">
        <v>1009</v>
      </c>
      <c r="AO23" s="103"/>
      <c r="AP23" s="103"/>
      <c r="AQ23" s="103"/>
      <c r="AR23" s="103"/>
      <c r="AS23" s="103"/>
      <c r="AT23" s="103"/>
      <c r="AU23" s="103"/>
      <c r="AV23" s="103"/>
      <c r="AW23" s="103"/>
      <c r="AX23" s="103"/>
      <c r="AY23" s="103"/>
      <c r="AZ23" s="103" t="s">
        <v>1010</v>
      </c>
      <c r="BA23" s="103">
        <v>20</v>
      </c>
      <c r="BB23" s="103"/>
      <c r="BC23" s="103"/>
      <c r="BD23" s="103"/>
      <c r="BE23" s="103"/>
    </row>
    <row r="24" spans="1:57" ht="15.95">
      <c r="A24" s="54" t="s">
        <v>1011</v>
      </c>
      <c r="B24" s="54"/>
      <c r="C24" s="103"/>
      <c r="D24" s="103"/>
      <c r="E24" s="34"/>
      <c r="F24" s="103"/>
      <c r="G24" s="103"/>
      <c r="H24" s="103"/>
      <c r="I24" s="103"/>
      <c r="J24" s="34"/>
      <c r="K24" s="34"/>
      <c r="L24" s="34"/>
      <c r="M24" s="34"/>
      <c r="N24" s="34"/>
      <c r="O24" s="34"/>
      <c r="P24" s="34"/>
      <c r="Q24" s="34"/>
      <c r="R24" s="34"/>
      <c r="S24" s="34"/>
      <c r="T24" s="34"/>
      <c r="U24" s="34"/>
      <c r="V24" s="34"/>
      <c r="W24" s="34"/>
      <c r="X24" s="34"/>
      <c r="Y24" s="34"/>
      <c r="Z24" s="34"/>
      <c r="AA24" s="34"/>
      <c r="AB24" s="34"/>
      <c r="AC24" s="34"/>
      <c r="AD24" s="34"/>
      <c r="AE24" s="34"/>
      <c r="AF24" s="34"/>
      <c r="AG24" s="59" t="s">
        <v>1012</v>
      </c>
      <c r="AH24" s="59">
        <v>150</v>
      </c>
      <c r="AI24" s="59" t="s">
        <v>837</v>
      </c>
      <c r="AJ24" s="691"/>
      <c r="AK24" s="103">
        <v>22</v>
      </c>
      <c r="AL24" s="103"/>
      <c r="AM24" s="103">
        <v>2021</v>
      </c>
      <c r="AN24" s="92" t="s">
        <v>1013</v>
      </c>
      <c r="AO24" s="103"/>
      <c r="AP24" s="103"/>
      <c r="AQ24" s="103"/>
      <c r="AR24" s="103"/>
      <c r="AS24" s="103"/>
      <c r="AT24" s="103"/>
      <c r="AU24" s="103"/>
      <c r="AV24" s="103"/>
      <c r="AW24" s="103"/>
      <c r="AX24" s="103"/>
      <c r="AY24" s="103"/>
      <c r="AZ24" s="103" t="s">
        <v>411</v>
      </c>
      <c r="BA24" s="103">
        <v>15</v>
      </c>
      <c r="BB24" s="103"/>
      <c r="BC24" s="103"/>
      <c r="BD24" s="103"/>
      <c r="BE24" s="103"/>
    </row>
    <row r="25" spans="1:57" ht="15.95">
      <c r="A25" s="54" t="s">
        <v>1014</v>
      </c>
      <c r="B25" s="54"/>
      <c r="C25" s="103"/>
      <c r="D25" s="103"/>
      <c r="E25" s="34"/>
      <c r="F25" s="103"/>
      <c r="G25" s="103"/>
      <c r="H25" s="103"/>
      <c r="I25" s="103"/>
      <c r="J25" s="34"/>
      <c r="K25" s="34"/>
      <c r="L25" s="34"/>
      <c r="M25" s="34"/>
      <c r="N25" s="34"/>
      <c r="O25" s="34"/>
      <c r="P25" s="34"/>
      <c r="Q25" s="34"/>
      <c r="R25" s="34"/>
      <c r="S25" s="34"/>
      <c r="T25" s="34"/>
      <c r="U25" s="34"/>
      <c r="V25" s="34"/>
      <c r="W25" s="34"/>
      <c r="X25" s="34"/>
      <c r="Y25" s="34"/>
      <c r="Z25" s="34"/>
      <c r="AA25" s="34"/>
      <c r="AB25" s="34"/>
      <c r="AC25" s="34"/>
      <c r="AD25" s="34"/>
      <c r="AE25" s="34"/>
      <c r="AF25" s="34"/>
      <c r="AG25" s="59" t="s">
        <v>1015</v>
      </c>
      <c r="AH25" s="59">
        <v>154</v>
      </c>
      <c r="AI25" s="59" t="s">
        <v>837</v>
      </c>
      <c r="AJ25" s="694" t="s">
        <v>1016</v>
      </c>
      <c r="AK25" s="103">
        <v>23</v>
      </c>
      <c r="AL25" s="103"/>
      <c r="AM25" s="103">
        <v>2022</v>
      </c>
      <c r="AN25" s="92" t="s">
        <v>1017</v>
      </c>
      <c r="AO25" s="103"/>
      <c r="AP25" s="103"/>
      <c r="AQ25" s="103"/>
      <c r="AR25" s="103"/>
      <c r="AS25" s="103"/>
      <c r="AT25" s="103"/>
      <c r="AU25" s="103"/>
      <c r="AV25" s="103"/>
      <c r="AW25" s="103"/>
      <c r="AX25" s="103"/>
      <c r="AY25" s="103"/>
      <c r="AZ25" s="225" t="s">
        <v>1018</v>
      </c>
      <c r="BA25" s="103">
        <v>20</v>
      </c>
      <c r="BB25" s="103"/>
      <c r="BC25" s="103"/>
      <c r="BD25" s="103"/>
      <c r="BE25" s="103"/>
    </row>
    <row r="26" spans="1:57" ht="15.95">
      <c r="A26" s="54" t="s">
        <v>1019</v>
      </c>
      <c r="B26" s="54"/>
      <c r="C26" s="103"/>
      <c r="D26" s="103"/>
      <c r="E26" s="34"/>
      <c r="F26" s="103"/>
      <c r="G26" s="103"/>
      <c r="H26" s="103"/>
      <c r="I26" s="103"/>
      <c r="J26" s="34"/>
      <c r="K26" s="34"/>
      <c r="L26" s="34"/>
      <c r="M26" s="34"/>
      <c r="N26" s="34"/>
      <c r="O26" s="34"/>
      <c r="P26" s="34"/>
      <c r="Q26" s="34"/>
      <c r="R26" s="34"/>
      <c r="S26" s="34"/>
      <c r="T26" s="34"/>
      <c r="U26" s="34"/>
      <c r="V26" s="34"/>
      <c r="W26" s="34"/>
      <c r="X26" s="34"/>
      <c r="Y26" s="34"/>
      <c r="Z26" s="34"/>
      <c r="AA26" s="34"/>
      <c r="AB26" s="34"/>
      <c r="AC26" s="34"/>
      <c r="AD26" s="34"/>
      <c r="AE26" s="34"/>
      <c r="AF26" s="34"/>
      <c r="AG26" s="60" t="s">
        <v>1020</v>
      </c>
      <c r="AH26" s="59">
        <v>139</v>
      </c>
      <c r="AI26" s="58" t="s">
        <v>1021</v>
      </c>
      <c r="AJ26" s="694" t="s">
        <v>1016</v>
      </c>
      <c r="AK26" s="103">
        <v>24</v>
      </c>
      <c r="AL26" s="103"/>
      <c r="AM26" s="103">
        <v>2023</v>
      </c>
      <c r="AN26" s="92" t="s">
        <v>1022</v>
      </c>
      <c r="AO26" s="103"/>
      <c r="AP26" s="103"/>
      <c r="AQ26" s="103"/>
      <c r="AR26" s="103"/>
      <c r="AS26" s="103"/>
      <c r="AT26" s="103"/>
      <c r="AU26" s="103"/>
      <c r="AV26" s="103"/>
      <c r="AW26" s="103"/>
      <c r="AX26" s="103"/>
      <c r="AY26" s="103"/>
      <c r="AZ26" s="103" t="s">
        <v>422</v>
      </c>
      <c r="BA26" s="103">
        <v>24</v>
      </c>
      <c r="BB26" s="103"/>
      <c r="BC26" s="103"/>
      <c r="BD26" s="103"/>
      <c r="BE26" s="103"/>
    </row>
    <row r="27" spans="1:57" ht="15.95">
      <c r="A27" s="54" t="s">
        <v>1023</v>
      </c>
      <c r="B27" s="54"/>
      <c r="C27" s="103"/>
      <c r="D27" s="103"/>
      <c r="E27" s="34"/>
      <c r="F27" s="103"/>
      <c r="G27" s="103"/>
      <c r="H27" s="103"/>
      <c r="I27" s="103"/>
      <c r="J27" s="34"/>
      <c r="K27" s="34"/>
      <c r="L27" s="34"/>
      <c r="M27" s="34"/>
      <c r="N27" s="34"/>
      <c r="O27" s="34"/>
      <c r="P27" s="34"/>
      <c r="Q27" s="34"/>
      <c r="R27" s="34"/>
      <c r="S27" s="34"/>
      <c r="T27" s="34"/>
      <c r="U27" s="34"/>
      <c r="V27" s="34"/>
      <c r="W27" s="34"/>
      <c r="X27" s="34"/>
      <c r="Y27" s="34"/>
      <c r="Z27" s="34"/>
      <c r="AA27" s="34"/>
      <c r="AB27" s="34"/>
      <c r="AC27" s="34"/>
      <c r="AD27" s="34"/>
      <c r="AE27" s="34"/>
      <c r="AF27" s="34"/>
      <c r="AG27" s="58" t="s">
        <v>1024</v>
      </c>
      <c r="AH27" s="58">
        <v>124</v>
      </c>
      <c r="AI27" s="58" t="s">
        <v>989</v>
      </c>
      <c r="AJ27" s="694" t="s">
        <v>1016</v>
      </c>
      <c r="AK27" s="103">
        <v>25</v>
      </c>
      <c r="AL27" s="103"/>
      <c r="AM27" s="103">
        <v>2024</v>
      </c>
      <c r="AN27" s="92" t="s">
        <v>1025</v>
      </c>
      <c r="AO27" s="103"/>
      <c r="AP27" s="103"/>
      <c r="AQ27" s="103"/>
      <c r="AR27" s="103"/>
      <c r="AS27" s="103"/>
      <c r="AT27" s="103"/>
      <c r="AU27" s="103"/>
      <c r="AV27" s="103"/>
      <c r="AW27" s="103"/>
      <c r="AX27" s="103"/>
      <c r="AY27" s="103"/>
      <c r="AZ27" s="103" t="s">
        <v>1026</v>
      </c>
      <c r="BA27" s="103">
        <v>20</v>
      </c>
      <c r="BB27" s="103"/>
      <c r="BC27" s="103"/>
      <c r="BD27" s="103"/>
      <c r="BE27" s="103"/>
    </row>
    <row r="28" spans="1:57" ht="15.95">
      <c r="A28" s="54" t="s">
        <v>1027</v>
      </c>
      <c r="B28" s="54"/>
      <c r="C28" s="103"/>
      <c r="D28" s="103"/>
      <c r="E28" s="34"/>
      <c r="F28" s="103"/>
      <c r="G28" s="103"/>
      <c r="H28" s="103"/>
      <c r="I28" s="103"/>
      <c r="J28" s="34"/>
      <c r="K28" s="34"/>
      <c r="L28" s="34"/>
      <c r="M28" s="34"/>
      <c r="N28" s="34"/>
      <c r="O28" s="34"/>
      <c r="P28" s="34"/>
      <c r="Q28" s="34"/>
      <c r="R28" s="34"/>
      <c r="S28" s="34"/>
      <c r="T28" s="34"/>
      <c r="U28" s="34"/>
      <c r="V28" s="34"/>
      <c r="W28" s="34"/>
      <c r="X28" s="34"/>
      <c r="Y28" s="34"/>
      <c r="Z28" s="34"/>
      <c r="AA28" s="34"/>
      <c r="AB28" s="34"/>
      <c r="AC28" s="34"/>
      <c r="AD28" s="34"/>
      <c r="AE28" s="34"/>
      <c r="AF28" s="34"/>
      <c r="AG28" s="60" t="s">
        <v>269</v>
      </c>
      <c r="AH28" s="59">
        <v>92</v>
      </c>
      <c r="AI28" s="59" t="s">
        <v>950</v>
      </c>
      <c r="AJ28" s="691"/>
      <c r="AK28" s="103">
        <v>26</v>
      </c>
      <c r="AL28" s="103"/>
      <c r="AM28" s="103">
        <v>2025</v>
      </c>
      <c r="AN28" s="92" t="s">
        <v>1028</v>
      </c>
      <c r="AO28" s="103"/>
      <c r="AP28" s="103"/>
      <c r="AQ28" s="103"/>
      <c r="AR28" s="103"/>
      <c r="AS28" s="103"/>
      <c r="AT28" s="103"/>
      <c r="AU28" s="103"/>
      <c r="AV28" s="103"/>
      <c r="AW28" s="103"/>
      <c r="AX28" s="103"/>
      <c r="AY28" s="103"/>
      <c r="AZ28" s="103" t="s">
        <v>370</v>
      </c>
      <c r="BA28" s="103">
        <v>25</v>
      </c>
      <c r="BB28" s="103"/>
      <c r="BC28" s="103"/>
      <c r="BD28" s="103"/>
      <c r="BE28" s="103"/>
    </row>
    <row r="29" spans="1:57" ht="15.95">
      <c r="A29" s="54" t="s">
        <v>1029</v>
      </c>
      <c r="B29" s="54"/>
      <c r="C29" s="103"/>
      <c r="D29" s="103"/>
      <c r="E29" s="34"/>
      <c r="F29" s="103"/>
      <c r="G29" s="103"/>
      <c r="H29" s="103"/>
      <c r="I29" s="103"/>
      <c r="J29" s="34"/>
      <c r="K29" s="34"/>
      <c r="L29" s="34"/>
      <c r="M29" s="34"/>
      <c r="N29" s="34"/>
      <c r="O29" s="34"/>
      <c r="P29" s="34"/>
      <c r="Q29" s="34"/>
      <c r="R29" s="34"/>
      <c r="S29" s="34"/>
      <c r="T29" s="34"/>
      <c r="U29" s="34"/>
      <c r="V29" s="34"/>
      <c r="W29" s="34"/>
      <c r="X29" s="34"/>
      <c r="Y29" s="34"/>
      <c r="Z29" s="34"/>
      <c r="AA29" s="34"/>
      <c r="AB29" s="34"/>
      <c r="AC29" s="34"/>
      <c r="AD29" s="34"/>
      <c r="AE29" s="34"/>
      <c r="AF29" s="34"/>
      <c r="AG29" s="60" t="s">
        <v>1030</v>
      </c>
      <c r="AH29" s="59">
        <v>2.516</v>
      </c>
      <c r="AI29" s="59" t="s">
        <v>950</v>
      </c>
      <c r="AJ29" s="691"/>
      <c r="AK29" s="103">
        <v>27</v>
      </c>
      <c r="AL29" s="103"/>
      <c r="AM29" s="103">
        <v>2026</v>
      </c>
      <c r="AN29" s="92" t="s">
        <v>1031</v>
      </c>
      <c r="AO29" s="103"/>
      <c r="AP29" s="103"/>
      <c r="AQ29" s="103"/>
      <c r="AR29" s="103"/>
      <c r="AS29" s="103"/>
      <c r="AT29" s="103"/>
      <c r="AU29" s="103"/>
      <c r="AV29" s="103"/>
      <c r="AW29" s="103"/>
      <c r="AX29" s="103"/>
      <c r="AY29" s="103"/>
      <c r="AZ29" s="103" t="s">
        <v>1032</v>
      </c>
      <c r="BA29" s="103">
        <v>23</v>
      </c>
      <c r="BB29" s="103"/>
      <c r="BC29" s="103"/>
      <c r="BD29" s="103"/>
      <c r="BE29" s="103"/>
    </row>
    <row r="30" spans="1:57" ht="15.95">
      <c r="A30" s="54" t="s">
        <v>1033</v>
      </c>
      <c r="B30" s="54"/>
      <c r="C30" s="103"/>
      <c r="D30" s="103"/>
      <c r="E30" s="34"/>
      <c r="F30" s="103"/>
      <c r="G30" s="103"/>
      <c r="H30" s="103"/>
      <c r="I30" s="103"/>
      <c r="J30" s="34"/>
      <c r="K30" s="34"/>
      <c r="L30" s="34"/>
      <c r="M30" s="34"/>
      <c r="N30" s="34"/>
      <c r="O30" s="34"/>
      <c r="P30" s="34"/>
      <c r="Q30" s="34"/>
      <c r="R30" s="34"/>
      <c r="S30" s="34"/>
      <c r="T30" s="34"/>
      <c r="U30" s="34"/>
      <c r="V30" s="34"/>
      <c r="W30" s="34"/>
      <c r="X30" s="34"/>
      <c r="Y30" s="34"/>
      <c r="Z30" s="34"/>
      <c r="AA30" s="34"/>
      <c r="AB30" s="34"/>
      <c r="AC30" s="34"/>
      <c r="AD30" s="34"/>
      <c r="AE30" s="34"/>
      <c r="AF30" s="34"/>
      <c r="AG30" s="691"/>
      <c r="AH30" s="691"/>
      <c r="AI30" s="691"/>
      <c r="AJ30" s="691"/>
      <c r="AK30" s="103">
        <v>28</v>
      </c>
      <c r="AL30" s="103"/>
      <c r="AM30" s="103">
        <v>2027</v>
      </c>
      <c r="AN30" s="92" t="s">
        <v>1034</v>
      </c>
      <c r="AO30" s="103"/>
      <c r="AP30" s="103"/>
      <c r="AQ30" s="103"/>
      <c r="AR30" s="103"/>
      <c r="AS30" s="103"/>
      <c r="AT30" s="103"/>
      <c r="AU30" s="103"/>
      <c r="AV30" s="103"/>
      <c r="AW30" s="103"/>
      <c r="AX30" s="103"/>
      <c r="AY30" s="103"/>
      <c r="AZ30" s="103" t="s">
        <v>385</v>
      </c>
      <c r="BA30" s="103">
        <v>22</v>
      </c>
      <c r="BB30" s="103"/>
      <c r="BC30" s="103"/>
      <c r="BD30" s="103"/>
      <c r="BE30" s="103"/>
    </row>
    <row r="31" spans="1:57" ht="15.95">
      <c r="A31" s="54" t="s">
        <v>1035</v>
      </c>
      <c r="B31" s="54"/>
      <c r="C31" s="103"/>
      <c r="D31" s="103"/>
      <c r="E31" s="34"/>
      <c r="F31" s="103"/>
      <c r="G31" s="103"/>
      <c r="H31" s="103"/>
      <c r="I31" s="103"/>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103">
        <v>29</v>
      </c>
      <c r="AL31" s="103"/>
      <c r="AM31" s="103">
        <v>2028</v>
      </c>
      <c r="AN31" s="92" t="s">
        <v>1036</v>
      </c>
      <c r="AO31" s="103"/>
      <c r="AP31" s="103"/>
      <c r="AQ31" s="103"/>
      <c r="AR31" s="103"/>
      <c r="AS31" s="103"/>
      <c r="AT31" s="103"/>
      <c r="AU31" s="103"/>
      <c r="AV31" s="103"/>
      <c r="AW31" s="103"/>
      <c r="AX31" s="103"/>
      <c r="AY31" s="103"/>
      <c r="AZ31" s="103" t="s">
        <v>1037</v>
      </c>
      <c r="BA31" s="103">
        <v>20</v>
      </c>
      <c r="BB31" s="103"/>
      <c r="BC31" s="103"/>
      <c r="BD31" s="103"/>
      <c r="BE31" s="103"/>
    </row>
    <row r="32" spans="1:57" ht="15.95">
      <c r="A32" s="54" t="s">
        <v>1038</v>
      </c>
      <c r="B32" s="54"/>
      <c r="C32" s="103"/>
      <c r="D32" s="103"/>
      <c r="E32" s="34"/>
      <c r="F32" s="103"/>
      <c r="G32" s="103"/>
      <c r="H32" s="103"/>
      <c r="I32" s="103"/>
      <c r="J32" s="34"/>
      <c r="K32" s="34"/>
      <c r="L32" s="34"/>
      <c r="M32" s="34"/>
      <c r="N32" s="34"/>
      <c r="O32" s="34"/>
      <c r="P32" s="34"/>
      <c r="Q32" s="34"/>
      <c r="R32" s="34"/>
      <c r="S32" s="34"/>
      <c r="T32" s="34"/>
      <c r="U32" s="34"/>
      <c r="V32" s="34"/>
      <c r="W32" s="34"/>
      <c r="X32" s="34"/>
      <c r="Y32" s="34"/>
      <c r="Z32" s="34"/>
      <c r="AA32" s="34"/>
      <c r="AB32" s="34"/>
      <c r="AC32" s="34"/>
      <c r="AD32" s="34"/>
      <c r="AE32" s="34"/>
      <c r="AF32" s="34"/>
      <c r="AG32" s="58" t="s">
        <v>1039</v>
      </c>
      <c r="AH32" s="73" t="s">
        <v>1040</v>
      </c>
      <c r="AI32" s="58"/>
      <c r="AJ32" s="34"/>
      <c r="AK32" s="103">
        <v>30</v>
      </c>
      <c r="AL32" s="103"/>
      <c r="AM32" s="103">
        <v>2029</v>
      </c>
      <c r="AN32" s="92" t="s">
        <v>1041</v>
      </c>
      <c r="AO32" s="103"/>
      <c r="AP32" s="103"/>
      <c r="AQ32" s="103"/>
      <c r="AR32" s="103"/>
      <c r="AS32" s="103"/>
      <c r="AT32" s="103"/>
      <c r="AU32" s="103"/>
      <c r="AV32" s="103"/>
      <c r="AW32" s="103"/>
      <c r="AX32" s="103"/>
      <c r="AY32" s="103"/>
      <c r="AZ32" s="103" t="s">
        <v>1042</v>
      </c>
      <c r="BA32" s="103">
        <v>34</v>
      </c>
      <c r="BB32" s="103"/>
      <c r="BC32" s="103"/>
      <c r="BD32" s="103"/>
      <c r="BE32" s="103"/>
    </row>
    <row r="33" spans="1:53" ht="15.95">
      <c r="A33" s="54" t="s">
        <v>1043</v>
      </c>
      <c r="B33" s="54"/>
      <c r="C33" s="103"/>
      <c r="D33" s="103"/>
      <c r="E33" s="34"/>
      <c r="F33" s="103"/>
      <c r="G33" s="103"/>
      <c r="H33" s="103"/>
      <c r="I33" s="103"/>
      <c r="J33" s="34"/>
      <c r="K33" s="34"/>
      <c r="L33" s="34"/>
      <c r="M33" s="34"/>
      <c r="N33" s="34"/>
      <c r="O33" s="34"/>
      <c r="P33" s="34"/>
      <c r="Q33" s="34"/>
      <c r="R33" s="34"/>
      <c r="S33" s="34"/>
      <c r="T33" s="34"/>
      <c r="U33" s="34"/>
      <c r="V33" s="34"/>
      <c r="W33" s="34"/>
      <c r="X33" s="34"/>
      <c r="Y33" s="34"/>
      <c r="Z33" s="34"/>
      <c r="AA33" s="34"/>
      <c r="AB33" s="34"/>
      <c r="AC33" s="34"/>
      <c r="AD33" s="34"/>
      <c r="AE33" s="34"/>
      <c r="AF33" s="34"/>
      <c r="AG33" s="59" t="s">
        <v>1044</v>
      </c>
      <c r="AH33" s="73" t="s">
        <v>1045</v>
      </c>
      <c r="AI33" s="58"/>
      <c r="AJ33" s="34"/>
      <c r="AK33" s="103">
        <v>31</v>
      </c>
      <c r="AL33" s="103"/>
      <c r="AM33" s="103">
        <v>2030</v>
      </c>
      <c r="AN33" s="92" t="s">
        <v>1046</v>
      </c>
      <c r="AO33" s="103"/>
      <c r="AP33" s="103"/>
      <c r="AQ33" s="103"/>
      <c r="AR33" s="103"/>
      <c r="AS33" s="103"/>
      <c r="AT33" s="103"/>
      <c r="AU33" s="103"/>
      <c r="AV33" s="103"/>
      <c r="AW33" s="103"/>
      <c r="AX33" s="103"/>
      <c r="AY33" s="103"/>
      <c r="AZ33" s="103" t="s">
        <v>1047</v>
      </c>
      <c r="BA33" s="103">
        <v>20</v>
      </c>
    </row>
    <row r="34" spans="1:53" ht="15.95">
      <c r="A34" s="54" t="s">
        <v>1048</v>
      </c>
      <c r="B34" s="54"/>
      <c r="C34" s="103"/>
      <c r="D34" s="103"/>
      <c r="E34" s="34"/>
      <c r="F34" s="103"/>
      <c r="G34" s="103"/>
      <c r="H34" s="103"/>
      <c r="I34" s="103"/>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103"/>
      <c r="AL34" s="103"/>
      <c r="AM34" s="103">
        <v>2031</v>
      </c>
      <c r="AN34" s="92" t="s">
        <v>1049</v>
      </c>
      <c r="AO34" s="103"/>
      <c r="AP34" s="103"/>
      <c r="AQ34" s="103"/>
      <c r="AR34" s="103"/>
      <c r="AS34" s="103"/>
      <c r="AT34" s="103"/>
      <c r="AU34" s="103"/>
      <c r="AV34" s="103"/>
      <c r="AW34" s="103"/>
      <c r="AX34" s="103"/>
      <c r="AY34" s="103"/>
      <c r="AZ34" s="103" t="s">
        <v>1050</v>
      </c>
      <c r="BA34" s="103">
        <v>20</v>
      </c>
    </row>
    <row r="35" spans="1:53" ht="15.95">
      <c r="A35" s="54" t="s">
        <v>1051</v>
      </c>
      <c r="B35" s="54"/>
      <c r="C35" s="103"/>
      <c r="D35" s="103"/>
      <c r="E35" s="34"/>
      <c r="F35" s="103"/>
      <c r="G35" s="103"/>
      <c r="H35" s="103"/>
      <c r="I35" s="103"/>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103"/>
      <c r="AL35" s="103"/>
      <c r="AM35" s="103">
        <v>2032</v>
      </c>
      <c r="AN35" s="92" t="s">
        <v>1052</v>
      </c>
      <c r="AO35" s="103"/>
      <c r="AP35" s="103"/>
      <c r="AQ35" s="103"/>
      <c r="AR35" s="103"/>
      <c r="AS35" s="103"/>
      <c r="AT35" s="103"/>
      <c r="AU35" s="103"/>
      <c r="AV35" s="103"/>
      <c r="AW35" s="103"/>
      <c r="AX35" s="103"/>
      <c r="AY35" s="103"/>
      <c r="AZ35" s="103" t="s">
        <v>380</v>
      </c>
      <c r="BA35" s="103">
        <v>20</v>
      </c>
    </row>
    <row r="36" spans="1:53" ht="15.95">
      <c r="A36" s="54" t="s">
        <v>1053</v>
      </c>
      <c r="B36" s="54"/>
      <c r="C36" s="103"/>
      <c r="D36" s="103"/>
      <c r="E36" s="34"/>
      <c r="F36" s="103"/>
      <c r="G36" s="103"/>
      <c r="H36" s="103"/>
      <c r="I36" s="103"/>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103"/>
      <c r="AL36" s="103"/>
      <c r="AM36" s="103">
        <v>2033</v>
      </c>
      <c r="AN36" s="92" t="s">
        <v>1054</v>
      </c>
      <c r="AO36" s="103"/>
      <c r="AP36" s="103"/>
      <c r="AQ36" s="103"/>
      <c r="AR36" s="103"/>
      <c r="AS36" s="103"/>
      <c r="AT36" s="103"/>
      <c r="AU36" s="103"/>
      <c r="AV36" s="103"/>
      <c r="AW36" s="103"/>
      <c r="AX36" s="103"/>
      <c r="AY36" s="103"/>
      <c r="AZ36" s="103" t="s">
        <v>418</v>
      </c>
      <c r="BA36" s="103">
        <v>10</v>
      </c>
    </row>
    <row r="37" spans="1:53" ht="15.95">
      <c r="A37" s="54" t="s">
        <v>1055</v>
      </c>
      <c r="B37" s="54"/>
      <c r="C37" s="103"/>
      <c r="D37" s="103"/>
      <c r="E37" s="34"/>
      <c r="F37" s="103"/>
      <c r="G37" s="103"/>
      <c r="H37" s="103"/>
      <c r="I37" s="103"/>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103"/>
      <c r="AL37" s="103"/>
      <c r="AM37" s="103">
        <v>2034</v>
      </c>
      <c r="AN37" s="92" t="s">
        <v>1056</v>
      </c>
      <c r="AO37" s="103"/>
      <c r="AP37" s="103"/>
      <c r="AQ37" s="103"/>
      <c r="AR37" s="103"/>
      <c r="AS37" s="103"/>
      <c r="AT37" s="103"/>
      <c r="AU37" s="103"/>
      <c r="AV37" s="103"/>
      <c r="AW37" s="103"/>
      <c r="AX37" s="103"/>
      <c r="AY37" s="103"/>
      <c r="AZ37" s="103" t="s">
        <v>1057</v>
      </c>
      <c r="BA37" s="103">
        <v>10</v>
      </c>
    </row>
    <row r="38" spans="1:53" ht="15.95">
      <c r="A38" s="54" t="s">
        <v>1058</v>
      </c>
      <c r="B38" s="54"/>
      <c r="C38" s="103"/>
      <c r="D38" s="103"/>
      <c r="E38" s="34"/>
      <c r="F38" s="103"/>
      <c r="G38" s="103"/>
      <c r="H38" s="103"/>
      <c r="I38" s="103"/>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103"/>
      <c r="AL38" s="103"/>
      <c r="AM38" s="103">
        <v>2035</v>
      </c>
      <c r="AN38" s="92" t="s">
        <v>1059</v>
      </c>
      <c r="AO38" s="103"/>
      <c r="AP38" s="103"/>
      <c r="AQ38" s="103"/>
      <c r="AR38" s="103"/>
      <c r="AS38" s="103"/>
      <c r="AT38" s="103"/>
      <c r="AU38" s="103"/>
      <c r="AV38" s="103"/>
      <c r="AW38" s="103"/>
      <c r="AX38" s="103"/>
      <c r="AY38" s="103"/>
      <c r="AZ38" s="103" t="s">
        <v>1060</v>
      </c>
      <c r="BA38" s="103">
        <v>15</v>
      </c>
    </row>
    <row r="39" spans="1:53" ht="15.95">
      <c r="A39" s="54" t="s">
        <v>1061</v>
      </c>
      <c r="B39" s="54"/>
      <c r="C39" s="103"/>
      <c r="D39" s="103"/>
      <c r="E39" s="34"/>
      <c r="F39" s="103"/>
      <c r="G39" s="103"/>
      <c r="H39" s="103"/>
      <c r="I39" s="103"/>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103"/>
      <c r="AL39" s="103"/>
      <c r="AM39" s="103">
        <v>2036</v>
      </c>
      <c r="AN39" s="92" t="s">
        <v>1062</v>
      </c>
      <c r="AO39" s="103"/>
      <c r="AP39" s="103"/>
      <c r="AQ39" s="103"/>
      <c r="AR39" s="103"/>
      <c r="AS39" s="103"/>
      <c r="AT39" s="103"/>
      <c r="AU39" s="103"/>
      <c r="AV39" s="103"/>
      <c r="AW39" s="103"/>
      <c r="AX39" s="103"/>
      <c r="AY39" s="103"/>
      <c r="AZ39" s="103" t="s">
        <v>1063</v>
      </c>
      <c r="BA39" s="103">
        <v>30</v>
      </c>
    </row>
    <row r="40" spans="1:53" ht="15.95">
      <c r="A40" s="54" t="s">
        <v>1064</v>
      </c>
      <c r="B40" s="54"/>
      <c r="C40" s="103"/>
      <c r="D40" s="103"/>
      <c r="E40" s="34"/>
      <c r="F40" s="103"/>
      <c r="G40" s="103"/>
      <c r="H40" s="103"/>
      <c r="I40" s="103"/>
      <c r="J40" s="34"/>
      <c r="K40" s="34"/>
      <c r="L40" s="34"/>
      <c r="M40" s="34"/>
      <c r="N40" s="34"/>
      <c r="O40" s="34"/>
      <c r="P40" s="34"/>
      <c r="Q40" s="34"/>
      <c r="R40" s="34"/>
      <c r="S40" s="34"/>
      <c r="T40" s="34"/>
      <c r="U40" s="34"/>
      <c r="V40" s="34"/>
      <c r="W40" s="34"/>
      <c r="X40" s="34"/>
      <c r="Y40" s="34"/>
      <c r="Z40" s="34"/>
      <c r="AA40" s="34"/>
      <c r="AB40" s="34"/>
      <c r="AC40" s="34"/>
      <c r="AD40" s="34"/>
      <c r="AE40" s="34"/>
      <c r="AF40" s="34"/>
      <c r="AG40" s="76"/>
      <c r="AH40" s="76"/>
      <c r="AI40" s="76"/>
      <c r="AJ40" s="34"/>
      <c r="AK40" s="103"/>
      <c r="AL40" s="103"/>
      <c r="AM40" s="103">
        <v>2037</v>
      </c>
      <c r="AN40" s="92" t="s">
        <v>1065</v>
      </c>
      <c r="AO40" s="103"/>
      <c r="AP40" s="103"/>
      <c r="AQ40" s="103"/>
      <c r="AR40" s="103"/>
      <c r="AS40" s="103"/>
      <c r="AT40" s="103"/>
      <c r="AU40" s="103"/>
      <c r="AV40" s="103"/>
      <c r="AW40" s="103"/>
      <c r="AX40" s="103"/>
      <c r="AY40" s="103"/>
      <c r="AZ40" s="103" t="s">
        <v>1066</v>
      </c>
      <c r="BA40" s="103">
        <v>20</v>
      </c>
    </row>
    <row r="41" spans="1:53" ht="15.95">
      <c r="A41" s="54" t="s">
        <v>1067</v>
      </c>
      <c r="B41" s="54"/>
      <c r="C41" s="103"/>
      <c r="D41" s="103"/>
      <c r="E41" s="34"/>
      <c r="F41" s="103"/>
      <c r="G41" s="103"/>
      <c r="H41" s="103"/>
      <c r="I41" s="103"/>
      <c r="J41" s="34"/>
      <c r="K41" s="34"/>
      <c r="L41" s="34"/>
      <c r="M41" s="34"/>
      <c r="N41" s="34"/>
      <c r="O41" s="34"/>
      <c r="P41" s="34"/>
      <c r="Q41" s="34"/>
      <c r="R41" s="34"/>
      <c r="S41" s="34"/>
      <c r="T41" s="34"/>
      <c r="U41" s="34"/>
      <c r="V41" s="34"/>
      <c r="W41" s="34"/>
      <c r="X41" s="34"/>
      <c r="Y41" s="34"/>
      <c r="Z41" s="34"/>
      <c r="AA41" s="34"/>
      <c r="AB41" s="34"/>
      <c r="AC41" s="34"/>
      <c r="AD41" s="34"/>
      <c r="AE41" s="34"/>
      <c r="AF41" s="34"/>
      <c r="AG41" s="75"/>
      <c r="AH41" s="75"/>
      <c r="AI41" s="75"/>
      <c r="AJ41" s="34"/>
      <c r="AK41" s="103"/>
      <c r="AL41" s="103"/>
      <c r="AM41" s="103">
        <v>2038</v>
      </c>
      <c r="AN41" s="92" t="s">
        <v>1068</v>
      </c>
      <c r="AO41" s="103"/>
      <c r="AP41" s="103"/>
      <c r="AQ41" s="103"/>
      <c r="AR41" s="103"/>
      <c r="AS41" s="103"/>
      <c r="AT41" s="103"/>
      <c r="AU41" s="103"/>
      <c r="AV41" s="103"/>
      <c r="AW41" s="103"/>
      <c r="AX41" s="103"/>
      <c r="AY41" s="103"/>
      <c r="AZ41" s="103" t="s">
        <v>1069</v>
      </c>
      <c r="BA41" s="103">
        <v>18</v>
      </c>
    </row>
    <row r="42" spans="1:53" ht="15.95">
      <c r="A42" s="54" t="s">
        <v>1070</v>
      </c>
      <c r="B42" s="54"/>
      <c r="C42" s="103"/>
      <c r="D42" s="103"/>
      <c r="E42" s="34"/>
      <c r="F42" s="103"/>
      <c r="G42" s="103"/>
      <c r="H42" s="103"/>
      <c r="I42" s="103"/>
      <c r="J42" s="34"/>
      <c r="K42" s="34"/>
      <c r="L42" s="34"/>
      <c r="M42" s="34"/>
      <c r="N42" s="34"/>
      <c r="O42" s="34"/>
      <c r="P42" s="34"/>
      <c r="Q42" s="34"/>
      <c r="R42" s="34"/>
      <c r="S42" s="34"/>
      <c r="T42" s="34"/>
      <c r="U42" s="34"/>
      <c r="V42" s="34"/>
      <c r="W42" s="34"/>
      <c r="X42" s="34"/>
      <c r="Y42" s="34"/>
      <c r="Z42" s="34"/>
      <c r="AA42" s="34"/>
      <c r="AB42" s="34"/>
      <c r="AC42" s="34"/>
      <c r="AD42" s="34"/>
      <c r="AE42" s="34"/>
      <c r="AF42" s="34"/>
      <c r="AG42" s="75"/>
      <c r="AH42" s="75"/>
      <c r="AI42" s="75"/>
      <c r="AJ42" s="34"/>
      <c r="AK42" s="103"/>
      <c r="AL42" s="103"/>
      <c r="AM42" s="103">
        <v>2039</v>
      </c>
      <c r="AN42" s="92" t="s">
        <v>86</v>
      </c>
      <c r="AO42" s="103"/>
      <c r="AP42" s="103"/>
      <c r="AQ42" s="103"/>
      <c r="AR42" s="103"/>
      <c r="AS42" s="103"/>
      <c r="AT42" s="103"/>
      <c r="AU42" s="103"/>
      <c r="AV42" s="103"/>
      <c r="AW42" s="103"/>
      <c r="AX42" s="103"/>
      <c r="AY42" s="103"/>
      <c r="AZ42" s="103" t="s">
        <v>1071</v>
      </c>
      <c r="BA42" s="103">
        <v>20</v>
      </c>
    </row>
    <row r="43" spans="1:53" s="53" customFormat="1" ht="15.95">
      <c r="A43" s="54" t="s">
        <v>1072</v>
      </c>
      <c r="B43" s="54"/>
      <c r="C43" s="103"/>
      <c r="D43" s="103"/>
      <c r="E43" s="34"/>
      <c r="F43" s="103"/>
      <c r="G43" s="103"/>
      <c r="H43" s="103"/>
      <c r="I43" s="103"/>
      <c r="J43" s="34"/>
      <c r="K43" s="34"/>
      <c r="L43" s="34"/>
      <c r="M43" s="34"/>
      <c r="N43" s="34"/>
      <c r="O43" s="34"/>
      <c r="P43" s="34"/>
      <c r="Q43" s="34"/>
      <c r="R43" s="34"/>
      <c r="S43" s="34"/>
      <c r="T43" s="34"/>
      <c r="U43" s="34"/>
      <c r="V43" s="34"/>
      <c r="W43" s="34"/>
      <c r="X43" s="34"/>
      <c r="Y43" s="34"/>
      <c r="Z43" s="34"/>
      <c r="AA43" s="34"/>
      <c r="AB43" s="34"/>
      <c r="AC43" s="34"/>
      <c r="AD43" s="34"/>
      <c r="AE43" s="34"/>
      <c r="AF43" s="34"/>
      <c r="AG43" s="75"/>
      <c r="AH43" s="75"/>
      <c r="AI43" s="75"/>
      <c r="AJ43" s="34"/>
      <c r="AK43" s="103"/>
      <c r="AL43" s="103"/>
      <c r="AM43" s="103">
        <v>2040</v>
      </c>
      <c r="AN43" s="92" t="s">
        <v>1073</v>
      </c>
      <c r="AO43" s="103"/>
      <c r="AP43" s="103"/>
      <c r="AQ43" s="103"/>
      <c r="AR43" s="103"/>
      <c r="AS43" s="103"/>
      <c r="AT43" s="103"/>
      <c r="AU43" s="103"/>
      <c r="AV43" s="103"/>
      <c r="AW43" s="103"/>
      <c r="AX43" s="103"/>
      <c r="AY43" s="103"/>
      <c r="AZ43" s="103" t="s">
        <v>1074</v>
      </c>
      <c r="BA43" s="103">
        <v>15</v>
      </c>
    </row>
    <row r="44" spans="1:53" s="53" customFormat="1" ht="15.95">
      <c r="A44" s="54" t="s">
        <v>1075</v>
      </c>
      <c r="B44" s="54"/>
      <c r="C44" s="103"/>
      <c r="D44" s="103"/>
      <c r="E44" s="34"/>
      <c r="F44" s="103"/>
      <c r="G44" s="103"/>
      <c r="H44" s="103"/>
      <c r="I44" s="103"/>
      <c r="J44" s="34"/>
      <c r="K44" s="34"/>
      <c r="L44" s="34"/>
      <c r="M44" s="34"/>
      <c r="N44" s="34"/>
      <c r="O44" s="34"/>
      <c r="P44" s="34"/>
      <c r="Q44" s="34"/>
      <c r="R44" s="34"/>
      <c r="S44" s="34"/>
      <c r="T44" s="34"/>
      <c r="U44" s="34"/>
      <c r="V44" s="34"/>
      <c r="W44" s="34"/>
      <c r="X44" s="34"/>
      <c r="Y44" s="34"/>
      <c r="Z44" s="34"/>
      <c r="AA44" s="34"/>
      <c r="AB44" s="34"/>
      <c r="AC44" s="34"/>
      <c r="AD44" s="34"/>
      <c r="AE44" s="34"/>
      <c r="AF44" s="34"/>
      <c r="AG44" s="75"/>
      <c r="AH44" s="75"/>
      <c r="AI44" s="75"/>
      <c r="AJ44" s="34"/>
      <c r="AK44" s="103"/>
      <c r="AL44" s="103"/>
      <c r="AM44" s="103">
        <v>2041</v>
      </c>
      <c r="AN44" s="92" t="s">
        <v>1076</v>
      </c>
      <c r="AO44" s="103"/>
      <c r="AP44" s="103"/>
      <c r="AQ44" s="103"/>
      <c r="AR44" s="103"/>
      <c r="AS44" s="103"/>
      <c r="AT44" s="103"/>
      <c r="AU44" s="103"/>
      <c r="AV44" s="103"/>
      <c r="AW44" s="103"/>
      <c r="AX44" s="103"/>
      <c r="AY44" s="103"/>
      <c r="AZ44" s="103" t="s">
        <v>1077</v>
      </c>
      <c r="BA44" s="103">
        <v>15</v>
      </c>
    </row>
    <row r="45" spans="1:53" ht="15.95">
      <c r="A45" s="54" t="s">
        <v>1078</v>
      </c>
      <c r="B45" s="54"/>
      <c r="C45" s="103"/>
      <c r="D45" s="103"/>
      <c r="E45" s="34"/>
      <c r="F45" s="103"/>
      <c r="G45" s="103"/>
      <c r="H45" s="103"/>
      <c r="I45" s="103"/>
      <c r="J45" s="34"/>
      <c r="K45" s="34"/>
      <c r="L45" s="34"/>
      <c r="M45" s="34"/>
      <c r="N45" s="34"/>
      <c r="O45" s="34"/>
      <c r="P45" s="34"/>
      <c r="Q45" s="34"/>
      <c r="R45" s="34"/>
      <c r="S45" s="34"/>
      <c r="T45" s="34"/>
      <c r="U45" s="34"/>
      <c r="V45" s="34"/>
      <c r="W45" s="34"/>
      <c r="X45" s="34"/>
      <c r="Y45" s="34"/>
      <c r="Z45" s="34"/>
      <c r="AA45" s="34"/>
      <c r="AB45" s="34"/>
      <c r="AC45" s="34"/>
      <c r="AD45" s="34"/>
      <c r="AE45" s="34"/>
      <c r="AF45" s="34"/>
      <c r="AG45" s="75"/>
      <c r="AH45" s="75"/>
      <c r="AI45" s="75"/>
      <c r="AJ45" s="34"/>
      <c r="AK45" s="103"/>
      <c r="AL45" s="103"/>
      <c r="AM45" s="103">
        <v>2042</v>
      </c>
      <c r="AN45" s="92" t="s">
        <v>1079</v>
      </c>
      <c r="AO45" s="103"/>
      <c r="AP45" s="103"/>
      <c r="AQ45" s="103"/>
      <c r="AR45" s="103"/>
      <c r="AS45" s="103"/>
      <c r="AT45" s="103"/>
      <c r="AU45" s="103"/>
      <c r="AV45" s="103"/>
      <c r="AW45" s="103"/>
      <c r="AX45" s="103"/>
      <c r="AY45" s="103"/>
      <c r="AZ45" s="103" t="s">
        <v>1080</v>
      </c>
      <c r="BA45" s="103">
        <v>20</v>
      </c>
    </row>
    <row r="46" spans="1:53" ht="15.95">
      <c r="A46" s="54" t="s">
        <v>1081</v>
      </c>
      <c r="B46" s="54"/>
      <c r="C46" s="103"/>
      <c r="D46" s="103"/>
      <c r="E46" s="34"/>
      <c r="F46" s="103"/>
      <c r="G46" s="103"/>
      <c r="H46" s="103"/>
      <c r="I46" s="103"/>
      <c r="J46" s="34"/>
      <c r="K46" s="34"/>
      <c r="L46" s="34"/>
      <c r="M46" s="34"/>
      <c r="N46" s="34"/>
      <c r="O46" s="34"/>
      <c r="P46" s="34"/>
      <c r="Q46" s="34"/>
      <c r="R46" s="34"/>
      <c r="S46" s="34"/>
      <c r="T46" s="34"/>
      <c r="U46" s="34"/>
      <c r="V46" s="34"/>
      <c r="W46" s="34"/>
      <c r="X46" s="34"/>
      <c r="Y46" s="34"/>
      <c r="Z46" s="34"/>
      <c r="AA46" s="34"/>
      <c r="AB46" s="34"/>
      <c r="AC46" s="34"/>
      <c r="AD46" s="34"/>
      <c r="AE46" s="34"/>
      <c r="AF46" s="34"/>
      <c r="AG46" s="75"/>
      <c r="AH46" s="75"/>
      <c r="AI46" s="75"/>
      <c r="AJ46" s="34"/>
      <c r="AK46" s="103"/>
      <c r="AL46" s="103"/>
      <c r="AM46" s="103">
        <v>2043</v>
      </c>
      <c r="AN46" s="92" t="s">
        <v>1082</v>
      </c>
      <c r="AO46" s="103"/>
      <c r="AP46" s="103"/>
      <c r="AQ46" s="103"/>
      <c r="AR46" s="103"/>
      <c r="AS46" s="103"/>
      <c r="AT46" s="103"/>
      <c r="AU46" s="103"/>
      <c r="AV46" s="103"/>
      <c r="AW46" s="103"/>
      <c r="AX46" s="103"/>
      <c r="AY46" s="103"/>
      <c r="AZ46" s="103" t="s">
        <v>1083</v>
      </c>
      <c r="BA46" s="103">
        <v>10</v>
      </c>
    </row>
    <row r="47" spans="1:53" ht="15.95">
      <c r="A47" s="54" t="s">
        <v>646</v>
      </c>
      <c r="B47" s="54"/>
      <c r="C47" s="103"/>
      <c r="D47" s="103"/>
      <c r="E47" s="34"/>
      <c r="F47" s="103"/>
      <c r="G47" s="103"/>
      <c r="H47" s="103"/>
      <c r="I47" s="103"/>
      <c r="J47" s="34"/>
      <c r="K47" s="34"/>
      <c r="L47" s="34"/>
      <c r="M47" s="34"/>
      <c r="N47" s="34"/>
      <c r="O47" s="34"/>
      <c r="P47" s="34"/>
      <c r="Q47" s="34"/>
      <c r="R47" s="34"/>
      <c r="S47" s="34"/>
      <c r="T47" s="34"/>
      <c r="U47" s="34"/>
      <c r="V47" s="34"/>
      <c r="W47" s="34"/>
      <c r="X47" s="34"/>
      <c r="Y47" s="34"/>
      <c r="Z47" s="34"/>
      <c r="AA47" s="34"/>
      <c r="AB47" s="34"/>
      <c r="AC47" s="34"/>
      <c r="AD47" s="34"/>
      <c r="AE47" s="34"/>
      <c r="AF47" s="34"/>
      <c r="AG47" s="75"/>
      <c r="AH47" s="75"/>
      <c r="AI47" s="75"/>
      <c r="AJ47" s="34"/>
      <c r="AK47" s="103"/>
      <c r="AL47" s="103"/>
      <c r="AM47" s="103">
        <v>2044</v>
      </c>
      <c r="AN47" s="92" t="s">
        <v>1084</v>
      </c>
      <c r="AO47" s="103"/>
      <c r="AP47" s="103"/>
      <c r="AQ47" s="103"/>
      <c r="AR47" s="103"/>
      <c r="AS47" s="103"/>
      <c r="AT47" s="103"/>
      <c r="AU47" s="103"/>
      <c r="AV47" s="103"/>
      <c r="AW47" s="103"/>
      <c r="AX47" s="103"/>
      <c r="AY47" s="103"/>
      <c r="AZ47" s="103"/>
      <c r="BA47" s="103"/>
    </row>
    <row r="48" spans="1:53" ht="15.95">
      <c r="A48" s="54" t="s">
        <v>120</v>
      </c>
      <c r="B48" s="54"/>
      <c r="C48" s="103"/>
      <c r="D48" s="103"/>
      <c r="E48" s="34"/>
      <c r="F48" s="103"/>
      <c r="G48" s="103"/>
      <c r="H48" s="103"/>
      <c r="I48" s="103"/>
      <c r="J48" s="34"/>
      <c r="K48" s="34"/>
      <c r="L48" s="34"/>
      <c r="M48" s="34"/>
      <c r="N48" s="34"/>
      <c r="O48" s="34"/>
      <c r="P48" s="34"/>
      <c r="Q48" s="34"/>
      <c r="R48" s="34"/>
      <c r="S48" s="34"/>
      <c r="T48" s="34"/>
      <c r="U48" s="34"/>
      <c r="V48" s="34"/>
      <c r="W48" s="34"/>
      <c r="X48" s="34"/>
      <c r="Y48" s="34"/>
      <c r="Z48" s="34"/>
      <c r="AA48" s="34"/>
      <c r="AB48" s="34"/>
      <c r="AC48" s="34"/>
      <c r="AD48" s="34"/>
      <c r="AE48" s="34"/>
      <c r="AF48" s="34"/>
      <c r="AG48" s="77"/>
      <c r="AH48" s="75"/>
      <c r="AI48" s="75"/>
      <c r="AJ48" s="34"/>
      <c r="AK48" s="103"/>
      <c r="AL48" s="103"/>
      <c r="AM48" s="103">
        <v>2045</v>
      </c>
      <c r="AN48" s="92" t="s">
        <v>1085</v>
      </c>
      <c r="AO48" s="103"/>
      <c r="AP48" s="103"/>
      <c r="AQ48" s="103"/>
      <c r="AR48" s="103"/>
      <c r="AS48" s="103"/>
      <c r="AT48" s="103"/>
      <c r="AU48" s="103"/>
      <c r="AV48" s="103"/>
      <c r="AW48" s="103"/>
      <c r="AX48" s="103"/>
      <c r="AY48" s="103"/>
      <c r="AZ48" s="103"/>
      <c r="BA48" s="103"/>
    </row>
    <row r="49" spans="1:40" ht="15.95">
      <c r="A49" s="54" t="s">
        <v>1086</v>
      </c>
      <c r="B49" s="54"/>
      <c r="C49" s="103"/>
      <c r="D49" s="103"/>
      <c r="E49" s="34"/>
      <c r="F49" s="103"/>
      <c r="G49" s="103"/>
      <c r="H49" s="103"/>
      <c r="I49" s="103"/>
      <c r="J49" s="34"/>
      <c r="K49" s="34"/>
      <c r="L49" s="34"/>
      <c r="M49" s="34"/>
      <c r="N49" s="34"/>
      <c r="O49" s="34"/>
      <c r="P49" s="34"/>
      <c r="Q49" s="34"/>
      <c r="R49" s="34"/>
      <c r="S49" s="34"/>
      <c r="T49" s="34"/>
      <c r="U49" s="34"/>
      <c r="V49" s="34"/>
      <c r="W49" s="34"/>
      <c r="X49" s="34"/>
      <c r="Y49" s="34"/>
      <c r="Z49" s="34"/>
      <c r="AA49" s="34"/>
      <c r="AB49" s="34"/>
      <c r="AC49" s="34"/>
      <c r="AD49" s="34"/>
      <c r="AE49" s="34"/>
      <c r="AF49" s="34"/>
      <c r="AG49" s="78"/>
      <c r="AH49" s="79"/>
      <c r="AI49" s="75"/>
      <c r="AJ49" s="34"/>
      <c r="AK49" s="103"/>
      <c r="AL49" s="103"/>
      <c r="AM49" s="103">
        <v>2046</v>
      </c>
      <c r="AN49" s="92" t="s">
        <v>1087</v>
      </c>
    </row>
    <row r="50" spans="1:40" s="53" customFormat="1" ht="15.95">
      <c r="A50" s="54" t="s">
        <v>1088</v>
      </c>
      <c r="B50" s="54"/>
      <c r="C50" s="103"/>
      <c r="D50" s="103"/>
      <c r="E50" s="34"/>
      <c r="F50" s="103"/>
      <c r="G50" s="103"/>
      <c r="H50" s="103"/>
      <c r="I50" s="103"/>
      <c r="J50" s="34"/>
      <c r="K50" s="34"/>
      <c r="L50" s="34"/>
      <c r="M50" s="34"/>
      <c r="N50" s="34"/>
      <c r="O50" s="34"/>
      <c r="P50" s="34"/>
      <c r="Q50" s="34"/>
      <c r="R50" s="34"/>
      <c r="S50" s="34"/>
      <c r="T50" s="34"/>
      <c r="U50" s="34"/>
      <c r="V50" s="34"/>
      <c r="W50" s="34"/>
      <c r="X50" s="34"/>
      <c r="Y50" s="34"/>
      <c r="Z50" s="34"/>
      <c r="AA50" s="34"/>
      <c r="AB50" s="34"/>
      <c r="AC50" s="34"/>
      <c r="AD50" s="34"/>
      <c r="AE50" s="34"/>
      <c r="AF50" s="34"/>
      <c r="AG50" s="75"/>
      <c r="AH50" s="75"/>
      <c r="AI50" s="75"/>
      <c r="AJ50" s="34"/>
      <c r="AK50" s="103"/>
      <c r="AL50" s="103"/>
      <c r="AM50" s="103">
        <v>2047</v>
      </c>
      <c r="AN50" s="92" t="s">
        <v>1089</v>
      </c>
    </row>
    <row r="51" spans="1:40" s="53" customFormat="1" ht="15.95">
      <c r="A51" s="54" t="s">
        <v>1090</v>
      </c>
      <c r="B51" s="54"/>
      <c r="C51" s="103"/>
      <c r="D51" s="103"/>
      <c r="E51" s="34"/>
      <c r="F51" s="103"/>
      <c r="G51" s="103"/>
      <c r="H51" s="103"/>
      <c r="I51" s="103"/>
      <c r="J51" s="34"/>
      <c r="K51" s="34"/>
      <c r="L51" s="34"/>
      <c r="M51" s="34"/>
      <c r="N51" s="34"/>
      <c r="O51" s="34"/>
      <c r="P51" s="34"/>
      <c r="Q51" s="34"/>
      <c r="R51" s="34"/>
      <c r="S51" s="34"/>
      <c r="T51" s="34"/>
      <c r="U51" s="34"/>
      <c r="V51" s="34"/>
      <c r="W51" s="34"/>
      <c r="X51" s="34"/>
      <c r="Y51" s="34"/>
      <c r="Z51" s="34"/>
      <c r="AA51" s="34"/>
      <c r="AB51" s="34"/>
      <c r="AC51" s="34"/>
      <c r="AD51" s="34"/>
      <c r="AE51" s="34"/>
      <c r="AF51" s="34"/>
      <c r="AG51" s="75"/>
      <c r="AH51" s="80"/>
      <c r="AI51" s="75"/>
      <c r="AJ51" s="34"/>
      <c r="AK51" s="103"/>
      <c r="AL51" s="103"/>
      <c r="AM51" s="103">
        <v>2048</v>
      </c>
      <c r="AN51" s="92" t="s">
        <v>1091</v>
      </c>
    </row>
    <row r="52" spans="1:40" ht="15.95">
      <c r="A52" s="54" t="s">
        <v>1092</v>
      </c>
      <c r="B52" s="54"/>
      <c r="C52" s="103"/>
      <c r="D52" s="103"/>
      <c r="E52" s="34"/>
      <c r="F52" s="103"/>
      <c r="G52" s="103"/>
      <c r="H52" s="103"/>
      <c r="I52" s="103"/>
      <c r="J52" s="34"/>
      <c r="K52" s="34"/>
      <c r="L52" s="34"/>
      <c r="M52" s="34"/>
      <c r="N52" s="34"/>
      <c r="O52" s="34"/>
      <c r="P52" s="34"/>
      <c r="Q52" s="34"/>
      <c r="R52" s="34"/>
      <c r="S52" s="34"/>
      <c r="T52" s="34"/>
      <c r="U52" s="34"/>
      <c r="V52" s="34"/>
      <c r="W52" s="34"/>
      <c r="X52" s="34"/>
      <c r="Y52" s="34"/>
      <c r="Z52" s="34"/>
      <c r="AA52" s="34"/>
      <c r="AB52" s="34"/>
      <c r="AC52" s="34"/>
      <c r="AD52" s="34"/>
      <c r="AE52" s="34"/>
      <c r="AF52" s="34"/>
      <c r="AG52" s="75"/>
      <c r="AH52" s="80"/>
      <c r="AI52" s="75"/>
      <c r="AJ52" s="34"/>
      <c r="AK52" s="103"/>
      <c r="AL52" s="103"/>
      <c r="AM52" s="103">
        <v>2049</v>
      </c>
      <c r="AN52" s="92" t="s">
        <v>1093</v>
      </c>
    </row>
    <row r="53" spans="1:40" ht="15.95">
      <c r="A53" s="54" t="s">
        <v>1094</v>
      </c>
      <c r="B53" s="54"/>
      <c r="C53" s="103"/>
      <c r="D53" s="103"/>
      <c r="E53" s="34"/>
      <c r="F53" s="103"/>
      <c r="G53" s="103"/>
      <c r="H53" s="103"/>
      <c r="I53" s="103"/>
      <c r="J53" s="34"/>
      <c r="K53" s="34"/>
      <c r="L53" s="34"/>
      <c r="M53" s="34"/>
      <c r="N53" s="34"/>
      <c r="O53" s="34"/>
      <c r="P53" s="34"/>
      <c r="Q53" s="34"/>
      <c r="R53" s="34"/>
      <c r="S53" s="34"/>
      <c r="T53" s="34"/>
      <c r="U53" s="34"/>
      <c r="V53" s="34"/>
      <c r="W53" s="34"/>
      <c r="X53" s="34"/>
      <c r="Y53" s="34"/>
      <c r="Z53" s="34"/>
      <c r="AA53" s="34"/>
      <c r="AB53" s="34"/>
      <c r="AC53" s="34"/>
      <c r="AD53" s="34"/>
      <c r="AE53" s="34"/>
      <c r="AF53" s="34"/>
      <c r="AG53" s="75"/>
      <c r="AH53" s="80"/>
      <c r="AI53" s="75"/>
      <c r="AJ53" s="34"/>
      <c r="AK53" s="103"/>
      <c r="AL53" s="103"/>
      <c r="AM53" s="103">
        <v>2050</v>
      </c>
      <c r="AN53" s="92" t="s">
        <v>1095</v>
      </c>
    </row>
    <row r="54" spans="1:40" ht="15.95">
      <c r="A54" s="54" t="s">
        <v>1096</v>
      </c>
      <c r="B54" s="54"/>
      <c r="C54" s="103"/>
      <c r="D54" s="103"/>
      <c r="E54" s="34"/>
      <c r="F54" s="103"/>
      <c r="G54" s="103"/>
      <c r="H54" s="103"/>
      <c r="I54" s="103"/>
      <c r="J54" s="34"/>
      <c r="K54" s="34"/>
      <c r="L54" s="34"/>
      <c r="M54" s="34"/>
      <c r="N54" s="34"/>
      <c r="O54" s="34"/>
      <c r="P54" s="34"/>
      <c r="Q54" s="34"/>
      <c r="R54" s="34"/>
      <c r="S54" s="34"/>
      <c r="T54" s="34"/>
      <c r="U54" s="34"/>
      <c r="V54" s="34"/>
      <c r="W54" s="34"/>
      <c r="X54" s="34"/>
      <c r="Y54" s="34"/>
      <c r="Z54" s="34"/>
      <c r="AA54" s="34"/>
      <c r="AB54" s="34"/>
      <c r="AC54" s="34"/>
      <c r="AD54" s="34"/>
      <c r="AE54" s="34"/>
      <c r="AF54" s="34"/>
      <c r="AG54" s="75"/>
      <c r="AH54" s="80"/>
      <c r="AI54" s="75"/>
      <c r="AJ54" s="34"/>
      <c r="AK54" s="103"/>
      <c r="AL54" s="103"/>
      <c r="AM54" s="103"/>
      <c r="AN54" s="92" t="s">
        <v>1097</v>
      </c>
    </row>
    <row r="55" spans="1:40" s="53" customFormat="1" ht="15.95">
      <c r="A55" s="54" t="s">
        <v>1098</v>
      </c>
      <c r="B55" s="54"/>
      <c r="C55" s="103"/>
      <c r="D55" s="103"/>
      <c r="E55" s="34"/>
      <c r="F55" s="103"/>
      <c r="G55" s="103"/>
      <c r="H55" s="103"/>
      <c r="I55" s="103"/>
      <c r="J55" s="34"/>
      <c r="K55" s="34"/>
      <c r="L55" s="34"/>
      <c r="M55" s="34"/>
      <c r="N55" s="34"/>
      <c r="O55" s="34"/>
      <c r="P55" s="34"/>
      <c r="Q55" s="34"/>
      <c r="R55" s="34"/>
      <c r="S55" s="34"/>
      <c r="T55" s="34"/>
      <c r="U55" s="34"/>
      <c r="V55" s="34"/>
      <c r="W55" s="34"/>
      <c r="X55" s="34"/>
      <c r="Y55" s="34"/>
      <c r="Z55" s="34"/>
      <c r="AA55" s="34"/>
      <c r="AB55" s="34"/>
      <c r="AC55" s="34"/>
      <c r="AD55" s="34"/>
      <c r="AE55" s="34"/>
      <c r="AF55" s="34"/>
      <c r="AG55" s="75"/>
      <c r="AH55" s="80"/>
      <c r="AI55" s="75"/>
      <c r="AJ55" s="34"/>
      <c r="AK55" s="103"/>
      <c r="AL55" s="103"/>
      <c r="AM55" s="103"/>
      <c r="AN55" s="92" t="s">
        <v>1099</v>
      </c>
    </row>
    <row r="56" spans="1:40" s="53" customFormat="1" ht="15.95">
      <c r="A56" s="54" t="s">
        <v>1100</v>
      </c>
      <c r="B56" s="54"/>
      <c r="C56" s="103"/>
      <c r="D56" s="103"/>
      <c r="E56" s="34"/>
      <c r="F56" s="103"/>
      <c r="G56" s="103"/>
      <c r="H56" s="103"/>
      <c r="I56" s="103"/>
      <c r="J56" s="34"/>
      <c r="K56" s="34"/>
      <c r="L56" s="34"/>
      <c r="M56" s="34"/>
      <c r="N56" s="34"/>
      <c r="O56" s="34"/>
      <c r="P56" s="34"/>
      <c r="Q56" s="34"/>
      <c r="R56" s="34"/>
      <c r="S56" s="34"/>
      <c r="T56" s="34"/>
      <c r="U56" s="34"/>
      <c r="V56" s="34"/>
      <c r="W56" s="34"/>
      <c r="X56" s="34"/>
      <c r="Y56" s="34"/>
      <c r="Z56" s="34"/>
      <c r="AA56" s="34"/>
      <c r="AB56" s="34"/>
      <c r="AC56" s="34"/>
      <c r="AD56" s="34"/>
      <c r="AE56" s="34"/>
      <c r="AF56" s="34"/>
      <c r="AG56" s="75"/>
      <c r="AH56" s="80"/>
      <c r="AI56" s="75"/>
      <c r="AJ56" s="34"/>
      <c r="AK56" s="103"/>
      <c r="AL56" s="103"/>
      <c r="AM56" s="103"/>
      <c r="AN56" s="92" t="s">
        <v>1101</v>
      </c>
    </row>
    <row r="57" spans="1:40" s="53" customFormat="1" ht="15.95">
      <c r="A57" s="54" t="s">
        <v>1102</v>
      </c>
      <c r="B57" s="54"/>
      <c r="C57" s="103"/>
      <c r="D57" s="103"/>
      <c r="E57" s="34"/>
      <c r="F57" s="103"/>
      <c r="G57" s="103"/>
      <c r="H57" s="103"/>
      <c r="I57" s="103"/>
      <c r="J57" s="34"/>
      <c r="K57" s="34"/>
      <c r="L57" s="34"/>
      <c r="M57" s="34"/>
      <c r="N57" s="34"/>
      <c r="O57" s="34"/>
      <c r="P57" s="34"/>
      <c r="Q57" s="34"/>
      <c r="R57" s="34"/>
      <c r="S57" s="34"/>
      <c r="T57" s="34"/>
      <c r="U57" s="34"/>
      <c r="V57" s="34"/>
      <c r="W57" s="34"/>
      <c r="X57" s="34"/>
      <c r="Y57" s="34"/>
      <c r="Z57" s="34"/>
      <c r="AA57" s="34"/>
      <c r="AB57" s="34"/>
      <c r="AC57" s="34"/>
      <c r="AD57" s="34"/>
      <c r="AE57" s="34"/>
      <c r="AF57" s="34"/>
      <c r="AG57" s="75"/>
      <c r="AH57" s="80"/>
      <c r="AI57" s="75"/>
      <c r="AJ57" s="34"/>
      <c r="AK57" s="103"/>
      <c r="AL57" s="103"/>
      <c r="AM57" s="103"/>
      <c r="AN57" s="92" t="s">
        <v>1103</v>
      </c>
    </row>
    <row r="58" spans="1:40" ht="15.95">
      <c r="A58" s="54" t="s">
        <v>1104</v>
      </c>
      <c r="B58" s="54"/>
      <c r="C58" s="103"/>
      <c r="D58" s="103"/>
      <c r="E58" s="34"/>
      <c r="F58" s="103"/>
      <c r="G58" s="103"/>
      <c r="H58" s="103"/>
      <c r="I58" s="103"/>
      <c r="J58" s="34"/>
      <c r="K58" s="34"/>
      <c r="L58" s="34"/>
      <c r="M58" s="34"/>
      <c r="N58" s="34"/>
      <c r="O58" s="34"/>
      <c r="P58" s="34"/>
      <c r="Q58" s="34"/>
      <c r="R58" s="34"/>
      <c r="S58" s="34"/>
      <c r="T58" s="34"/>
      <c r="U58" s="34"/>
      <c r="V58" s="34"/>
      <c r="W58" s="34"/>
      <c r="X58" s="34"/>
      <c r="Y58" s="34"/>
      <c r="Z58" s="34"/>
      <c r="AA58" s="34"/>
      <c r="AB58" s="34"/>
      <c r="AC58" s="34"/>
      <c r="AD58" s="34"/>
      <c r="AE58" s="34"/>
      <c r="AF58" s="34"/>
      <c r="AG58" s="81"/>
      <c r="AH58" s="82"/>
      <c r="AI58" s="75"/>
      <c r="AJ58" s="34">
        <f>AH58/2000*1000</f>
        <v>0</v>
      </c>
      <c r="AK58" s="103"/>
      <c r="AL58" s="103"/>
      <c r="AM58" s="103"/>
      <c r="AN58" s="92" t="s">
        <v>1105</v>
      </c>
    </row>
    <row r="59" spans="1:40" ht="15.95">
      <c r="A59" s="54" t="s">
        <v>1106</v>
      </c>
      <c r="B59" s="54"/>
      <c r="C59" s="103"/>
      <c r="D59" s="103"/>
      <c r="E59" s="34"/>
      <c r="F59" s="103"/>
      <c r="G59" s="103"/>
      <c r="H59" s="103"/>
      <c r="I59" s="103"/>
      <c r="J59" s="34"/>
      <c r="K59" s="34"/>
      <c r="L59" s="34"/>
      <c r="M59" s="34"/>
      <c r="N59" s="34"/>
      <c r="O59" s="34"/>
      <c r="P59" s="34"/>
      <c r="Q59" s="34"/>
      <c r="R59" s="34"/>
      <c r="S59" s="34"/>
      <c r="T59" s="34"/>
      <c r="U59" s="34"/>
      <c r="V59" s="34"/>
      <c r="W59" s="34"/>
      <c r="X59" s="34"/>
      <c r="Y59" s="34"/>
      <c r="Z59" s="34"/>
      <c r="AA59" s="34"/>
      <c r="AB59" s="34"/>
      <c r="AC59" s="34"/>
      <c r="AD59" s="34"/>
      <c r="AE59" s="34"/>
      <c r="AF59" s="34"/>
      <c r="AG59" s="75"/>
      <c r="AH59" s="75"/>
      <c r="AI59" s="75"/>
      <c r="AJ59" s="34"/>
      <c r="AK59" s="103"/>
      <c r="AL59" s="103"/>
      <c r="AM59" s="103"/>
      <c r="AN59" s="92" t="s">
        <v>1107</v>
      </c>
    </row>
    <row r="60" spans="1:40" ht="15.95">
      <c r="A60" s="54" t="s">
        <v>1108</v>
      </c>
      <c r="B60" s="54"/>
      <c r="C60" s="103"/>
      <c r="D60" s="103"/>
      <c r="E60" s="34"/>
      <c r="F60" s="103"/>
      <c r="G60" s="103"/>
      <c r="H60" s="103"/>
      <c r="I60" s="103"/>
      <c r="J60" s="34"/>
      <c r="K60" s="34"/>
      <c r="L60" s="34"/>
      <c r="M60" s="34"/>
      <c r="N60" s="34"/>
      <c r="O60" s="34"/>
      <c r="P60" s="34"/>
      <c r="Q60" s="34"/>
      <c r="R60" s="34"/>
      <c r="S60" s="34"/>
      <c r="T60" s="34"/>
      <c r="U60" s="34"/>
      <c r="V60" s="34"/>
      <c r="W60" s="34"/>
      <c r="X60" s="34"/>
      <c r="Y60" s="34"/>
      <c r="Z60" s="34"/>
      <c r="AA60" s="34"/>
      <c r="AB60" s="34"/>
      <c r="AC60" s="34"/>
      <c r="AD60" s="34"/>
      <c r="AE60" s="34"/>
      <c r="AF60" s="34"/>
      <c r="AG60" s="75"/>
      <c r="AH60" s="75"/>
      <c r="AI60" s="75"/>
      <c r="AJ60" s="34"/>
      <c r="AK60" s="103"/>
      <c r="AL60" s="103"/>
      <c r="AM60" s="103"/>
      <c r="AN60" s="92" t="s">
        <v>1109</v>
      </c>
    </row>
    <row r="61" spans="1:40" ht="15.95">
      <c r="A61" s="54" t="s">
        <v>1110</v>
      </c>
      <c r="B61" s="54"/>
      <c r="C61" s="103"/>
      <c r="D61" s="103"/>
      <c r="E61" s="34"/>
      <c r="F61" s="103"/>
      <c r="G61" s="103"/>
      <c r="H61" s="103"/>
      <c r="I61" s="103"/>
      <c r="J61" s="34"/>
      <c r="K61" s="34"/>
      <c r="L61" s="34"/>
      <c r="M61" s="34"/>
      <c r="N61" s="34"/>
      <c r="O61" s="34"/>
      <c r="P61" s="34"/>
      <c r="Q61" s="34"/>
      <c r="R61" s="34"/>
      <c r="S61" s="34"/>
      <c r="T61" s="34"/>
      <c r="U61" s="34"/>
      <c r="V61" s="34"/>
      <c r="W61" s="34"/>
      <c r="X61" s="34"/>
      <c r="Y61" s="34"/>
      <c r="Z61" s="34"/>
      <c r="AA61" s="34"/>
      <c r="AB61" s="34"/>
      <c r="AC61" s="34"/>
      <c r="AD61" s="34"/>
      <c r="AE61" s="34"/>
      <c r="AF61" s="34"/>
      <c r="AG61" s="75"/>
      <c r="AH61" s="75"/>
      <c r="AI61" s="78"/>
      <c r="AJ61" s="34"/>
      <c r="AK61" s="103"/>
      <c r="AL61" s="103"/>
      <c r="AM61" s="103"/>
      <c r="AN61" s="92" t="s">
        <v>1111</v>
      </c>
    </row>
    <row r="62" spans="1:40" s="53" customFormat="1" ht="15.95">
      <c r="A62" s="54" t="s">
        <v>1112</v>
      </c>
      <c r="B62" s="54"/>
      <c r="C62" s="103"/>
      <c r="D62" s="103"/>
      <c r="E62" s="34"/>
      <c r="F62" s="103"/>
      <c r="G62" s="103"/>
      <c r="H62" s="103"/>
      <c r="I62" s="103"/>
      <c r="J62" s="34"/>
      <c r="K62" s="34"/>
      <c r="L62" s="34"/>
      <c r="M62" s="34"/>
      <c r="N62" s="34"/>
      <c r="O62" s="34"/>
      <c r="P62" s="34"/>
      <c r="Q62" s="34"/>
      <c r="R62" s="34"/>
      <c r="S62" s="34"/>
      <c r="T62" s="34"/>
      <c r="U62" s="34"/>
      <c r="V62" s="34"/>
      <c r="W62" s="34"/>
      <c r="X62" s="34"/>
      <c r="Y62" s="34"/>
      <c r="Z62" s="34"/>
      <c r="AA62" s="34"/>
      <c r="AB62" s="34"/>
      <c r="AC62" s="34"/>
      <c r="AD62" s="34"/>
      <c r="AE62" s="34"/>
      <c r="AF62" s="34"/>
      <c r="AG62" s="75"/>
      <c r="AH62" s="75"/>
      <c r="AI62" s="75"/>
      <c r="AJ62" s="34"/>
      <c r="AK62" s="103"/>
      <c r="AL62" s="103"/>
      <c r="AM62" s="103"/>
      <c r="AN62" s="92" t="s">
        <v>1113</v>
      </c>
    </row>
    <row r="63" spans="1:40" ht="15.95">
      <c r="A63" s="54" t="s">
        <v>1114</v>
      </c>
      <c r="B63" s="54"/>
      <c r="C63" s="103"/>
      <c r="D63" s="103"/>
      <c r="E63" s="34"/>
      <c r="F63" s="103"/>
      <c r="G63" s="103"/>
      <c r="H63" s="103"/>
      <c r="I63" s="103"/>
      <c r="J63" s="34"/>
      <c r="K63" s="34"/>
      <c r="L63" s="34"/>
      <c r="M63" s="34"/>
      <c r="N63" s="34"/>
      <c r="O63" s="34"/>
      <c r="P63" s="34"/>
      <c r="Q63" s="34"/>
      <c r="R63" s="34"/>
      <c r="S63" s="34"/>
      <c r="T63" s="34"/>
      <c r="U63" s="34"/>
      <c r="V63" s="34"/>
      <c r="W63" s="34"/>
      <c r="X63" s="34"/>
      <c r="Y63" s="34"/>
      <c r="Z63" s="34"/>
      <c r="AA63" s="34"/>
      <c r="AB63" s="34"/>
      <c r="AC63" s="34"/>
      <c r="AD63" s="34"/>
      <c r="AE63" s="34"/>
      <c r="AF63" s="34"/>
      <c r="AG63" s="75"/>
      <c r="AH63" s="75"/>
      <c r="AI63" s="75"/>
      <c r="AJ63" s="34"/>
      <c r="AK63" s="103"/>
      <c r="AL63" s="103"/>
      <c r="AM63" s="103"/>
      <c r="AN63" s="92" t="s">
        <v>1115</v>
      </c>
    </row>
    <row r="64" spans="1:40" ht="15.95">
      <c r="A64" s="54" t="s">
        <v>166</v>
      </c>
      <c r="B64" s="54"/>
      <c r="C64" s="103"/>
      <c r="D64" s="103"/>
      <c r="E64" s="34"/>
      <c r="F64" s="103"/>
      <c r="G64" s="103"/>
      <c r="H64" s="103"/>
      <c r="I64" s="103"/>
      <c r="J64" s="34"/>
      <c r="K64" s="34"/>
      <c r="L64" s="34"/>
      <c r="M64" s="34"/>
      <c r="N64" s="34"/>
      <c r="O64" s="34"/>
      <c r="P64" s="34"/>
      <c r="Q64" s="34"/>
      <c r="R64" s="34"/>
      <c r="S64" s="34"/>
      <c r="T64" s="34"/>
      <c r="U64" s="34"/>
      <c r="V64" s="34"/>
      <c r="W64" s="34"/>
      <c r="X64" s="34"/>
      <c r="Y64" s="34"/>
      <c r="Z64" s="34"/>
      <c r="AA64" s="34"/>
      <c r="AB64" s="34"/>
      <c r="AC64" s="34"/>
      <c r="AD64" s="34"/>
      <c r="AE64" s="34"/>
      <c r="AF64" s="34"/>
      <c r="AG64" s="75"/>
      <c r="AH64" s="75"/>
      <c r="AI64" s="75"/>
      <c r="AJ64" s="34"/>
      <c r="AK64" s="103"/>
      <c r="AL64" s="103"/>
      <c r="AM64" s="103"/>
      <c r="AN64" s="92" t="s">
        <v>1116</v>
      </c>
    </row>
    <row r="65" spans="1:36">
      <c r="A65" s="54" t="s">
        <v>1117</v>
      </c>
      <c r="B65" s="54"/>
      <c r="C65" s="103"/>
      <c r="D65" s="103"/>
      <c r="E65" s="34"/>
      <c r="F65" s="103"/>
      <c r="G65" s="103"/>
      <c r="H65" s="103"/>
      <c r="I65" s="103"/>
      <c r="J65" s="34"/>
      <c r="K65" s="34"/>
      <c r="L65" s="34"/>
      <c r="M65" s="34"/>
      <c r="N65" s="34"/>
      <c r="O65" s="34"/>
      <c r="P65" s="34"/>
      <c r="Q65" s="34"/>
      <c r="R65" s="34"/>
      <c r="S65" s="34"/>
      <c r="T65" s="34"/>
      <c r="U65" s="34"/>
      <c r="V65" s="34"/>
      <c r="W65" s="34"/>
      <c r="X65" s="34"/>
      <c r="Y65" s="34"/>
      <c r="Z65" s="34"/>
      <c r="AA65" s="34"/>
      <c r="AB65" s="34"/>
      <c r="AC65" s="34"/>
      <c r="AD65" s="34"/>
      <c r="AE65" s="34"/>
      <c r="AF65" s="34"/>
      <c r="AG65" s="75"/>
      <c r="AH65" s="75"/>
      <c r="AI65" s="75"/>
      <c r="AJ65" s="34"/>
    </row>
    <row r="66" spans="1:36">
      <c r="A66" s="54" t="s">
        <v>1118</v>
      </c>
      <c r="B66" s="54"/>
      <c r="C66" s="103"/>
      <c r="D66" s="103"/>
      <c r="E66" s="34"/>
      <c r="F66" s="103"/>
      <c r="G66" s="103"/>
      <c r="H66" s="103"/>
      <c r="I66" s="103"/>
      <c r="J66" s="34"/>
      <c r="K66" s="34"/>
      <c r="L66" s="34"/>
      <c r="M66" s="34"/>
      <c r="N66" s="34"/>
      <c r="O66" s="34"/>
      <c r="P66" s="34"/>
      <c r="Q66" s="34"/>
      <c r="R66" s="34"/>
      <c r="S66" s="34"/>
      <c r="T66" s="34"/>
      <c r="U66" s="34"/>
      <c r="V66" s="34"/>
      <c r="W66" s="34"/>
      <c r="X66" s="34"/>
      <c r="Y66" s="34"/>
      <c r="Z66" s="34"/>
      <c r="AA66" s="34"/>
      <c r="AB66" s="34"/>
      <c r="AC66" s="34"/>
      <c r="AD66" s="34"/>
      <c r="AE66" s="34"/>
      <c r="AF66" s="34"/>
      <c r="AG66" s="77"/>
      <c r="AH66" s="75"/>
      <c r="AI66" s="78"/>
      <c r="AJ66" s="34"/>
    </row>
    <row r="67" spans="1:36">
      <c r="A67" s="54" t="s">
        <v>1119</v>
      </c>
      <c r="B67" s="54"/>
      <c r="C67" s="103"/>
      <c r="D67" s="103"/>
      <c r="E67" s="34"/>
      <c r="F67" s="103"/>
      <c r="G67" s="103"/>
      <c r="H67" s="103"/>
      <c r="I67" s="103"/>
      <c r="J67" s="34"/>
      <c r="K67" s="34"/>
      <c r="L67" s="34"/>
      <c r="M67" s="34"/>
      <c r="N67" s="34"/>
      <c r="O67" s="34"/>
      <c r="P67" s="34"/>
      <c r="Q67" s="34"/>
      <c r="R67" s="34"/>
      <c r="S67" s="34"/>
      <c r="T67" s="34"/>
      <c r="U67" s="34"/>
      <c r="V67" s="34"/>
      <c r="W67" s="34"/>
      <c r="X67" s="34"/>
      <c r="Y67" s="34"/>
      <c r="Z67" s="34"/>
      <c r="AA67" s="34"/>
      <c r="AB67" s="34"/>
      <c r="AC67" s="34"/>
      <c r="AD67" s="34"/>
      <c r="AE67" s="34"/>
      <c r="AF67" s="34"/>
      <c r="AG67" s="78"/>
      <c r="AH67" s="78"/>
      <c r="AI67" s="78"/>
      <c r="AJ67" s="34"/>
    </row>
    <row r="68" spans="1:36">
      <c r="A68" s="54" t="s">
        <v>1120</v>
      </c>
      <c r="B68" s="54"/>
      <c r="C68" s="103"/>
      <c r="D68" s="103"/>
      <c r="E68" s="34"/>
      <c r="F68" s="103"/>
      <c r="G68" s="103"/>
      <c r="H68" s="103"/>
      <c r="I68" s="103"/>
      <c r="J68" s="34"/>
      <c r="K68" s="34"/>
      <c r="L68" s="34"/>
      <c r="M68" s="34"/>
      <c r="N68" s="34"/>
      <c r="O68" s="34"/>
      <c r="P68" s="34"/>
      <c r="Q68" s="34"/>
      <c r="R68" s="34"/>
      <c r="S68" s="34"/>
      <c r="T68" s="34"/>
      <c r="U68" s="34"/>
      <c r="V68" s="34"/>
      <c r="W68" s="34"/>
      <c r="X68" s="34"/>
      <c r="Y68" s="34"/>
      <c r="Z68" s="34"/>
      <c r="AA68" s="34"/>
      <c r="AB68" s="34"/>
      <c r="AC68" s="34"/>
      <c r="AD68" s="34"/>
      <c r="AE68" s="34"/>
      <c r="AF68" s="34"/>
      <c r="AG68" s="77"/>
      <c r="AH68" s="75"/>
      <c r="AI68" s="75"/>
      <c r="AJ68" s="34"/>
    </row>
    <row r="69" spans="1:36">
      <c r="A69" s="54" t="s">
        <v>1121</v>
      </c>
      <c r="B69" s="54"/>
      <c r="C69" s="103"/>
      <c r="D69" s="103"/>
      <c r="E69" s="34"/>
      <c r="F69" s="103"/>
      <c r="G69" s="103"/>
      <c r="H69" s="103"/>
      <c r="I69" s="103"/>
      <c r="J69" s="34"/>
      <c r="K69" s="34"/>
      <c r="L69" s="34"/>
      <c r="M69" s="34"/>
      <c r="N69" s="34"/>
      <c r="O69" s="34"/>
      <c r="P69" s="34"/>
      <c r="Q69" s="34"/>
      <c r="R69" s="34"/>
      <c r="S69" s="34"/>
      <c r="T69" s="34"/>
      <c r="U69" s="34"/>
      <c r="V69" s="34"/>
      <c r="W69" s="34"/>
      <c r="X69" s="34"/>
      <c r="Y69" s="34"/>
      <c r="Z69" s="34"/>
      <c r="AA69" s="34"/>
      <c r="AB69" s="34"/>
      <c r="AC69" s="34"/>
      <c r="AD69" s="34"/>
      <c r="AE69" s="34"/>
      <c r="AF69" s="34"/>
      <c r="AG69" s="77"/>
      <c r="AH69" s="75"/>
      <c r="AI69" s="75"/>
      <c r="AJ69" s="34"/>
    </row>
    <row r="70" spans="1:36">
      <c r="A70" s="54" t="s">
        <v>1122</v>
      </c>
      <c r="B70" s="54"/>
      <c r="C70" s="103"/>
      <c r="D70" s="103"/>
      <c r="E70" s="34"/>
      <c r="F70" s="103"/>
      <c r="G70" s="103"/>
      <c r="H70" s="103"/>
      <c r="I70" s="103"/>
      <c r="J70" s="34"/>
      <c r="K70" s="34"/>
      <c r="L70" s="34"/>
      <c r="M70" s="34"/>
      <c r="N70" s="34"/>
      <c r="O70" s="34"/>
      <c r="P70" s="34"/>
      <c r="Q70" s="34"/>
      <c r="R70" s="34"/>
      <c r="S70" s="34"/>
      <c r="T70" s="34"/>
      <c r="U70" s="34"/>
      <c r="V70" s="34"/>
      <c r="W70" s="34"/>
      <c r="X70" s="34"/>
      <c r="Y70" s="34"/>
      <c r="Z70" s="34"/>
      <c r="AA70" s="34"/>
      <c r="AB70" s="34"/>
      <c r="AC70" s="34"/>
      <c r="AD70" s="34"/>
      <c r="AE70" s="34"/>
      <c r="AF70" s="34"/>
      <c r="AG70" s="31"/>
      <c r="AH70" s="31"/>
      <c r="AI70" s="31"/>
      <c r="AJ70" s="34"/>
    </row>
    <row r="71" spans="1:36">
      <c r="A71" s="54" t="s">
        <v>1123</v>
      </c>
      <c r="B71" s="54"/>
      <c r="C71" s="103"/>
      <c r="D71" s="103"/>
      <c r="E71" s="34"/>
      <c r="F71" s="103"/>
      <c r="G71" s="103"/>
      <c r="H71" s="103"/>
      <c r="I71" s="103"/>
      <c r="J71" s="34"/>
      <c r="K71" s="34"/>
      <c r="L71" s="34"/>
      <c r="M71" s="34"/>
      <c r="N71" s="34"/>
      <c r="O71" s="34"/>
      <c r="P71" s="34"/>
      <c r="Q71" s="34"/>
      <c r="R71" s="34"/>
      <c r="S71" s="34"/>
      <c r="T71" s="34"/>
      <c r="U71" s="34"/>
      <c r="V71" s="34"/>
      <c r="W71" s="34"/>
      <c r="X71" s="34"/>
      <c r="Y71" s="34"/>
      <c r="Z71" s="34"/>
      <c r="AA71" s="34"/>
      <c r="AB71" s="34"/>
      <c r="AC71" s="34"/>
      <c r="AD71" s="34"/>
      <c r="AE71" s="34"/>
      <c r="AF71" s="34"/>
      <c r="AG71" s="31"/>
      <c r="AH71" s="31"/>
      <c r="AI71" s="31"/>
      <c r="AJ71" s="34"/>
    </row>
    <row r="72" spans="1:36">
      <c r="A72" s="54" t="s">
        <v>1124</v>
      </c>
      <c r="B72" s="54"/>
      <c r="C72" s="103"/>
      <c r="D72" s="103"/>
      <c r="E72" s="34"/>
      <c r="F72" s="103"/>
      <c r="G72" s="103"/>
      <c r="H72" s="103"/>
      <c r="I72" s="103"/>
      <c r="J72" s="34"/>
      <c r="K72" s="34"/>
      <c r="L72" s="34"/>
      <c r="M72" s="34"/>
      <c r="N72" s="34"/>
      <c r="O72" s="34"/>
      <c r="P72" s="34"/>
      <c r="Q72" s="34"/>
      <c r="R72" s="34"/>
      <c r="S72" s="34"/>
      <c r="T72" s="34"/>
      <c r="U72" s="34"/>
      <c r="V72" s="34"/>
      <c r="W72" s="34"/>
      <c r="X72" s="34"/>
      <c r="Y72" s="34"/>
      <c r="Z72" s="34"/>
      <c r="AA72" s="34"/>
      <c r="AB72" s="34"/>
      <c r="AC72" s="34"/>
      <c r="AD72" s="34"/>
      <c r="AE72" s="34"/>
      <c r="AF72" s="34"/>
      <c r="AG72" s="78"/>
      <c r="AH72" s="83"/>
      <c r="AI72" s="78"/>
      <c r="AJ72" s="34"/>
    </row>
    <row r="73" spans="1:36">
      <c r="A73" s="54" t="s">
        <v>1125</v>
      </c>
      <c r="B73" s="54"/>
      <c r="C73" s="103"/>
      <c r="D73" s="103"/>
      <c r="E73" s="34"/>
      <c r="F73" s="103"/>
      <c r="G73" s="103"/>
      <c r="H73" s="103"/>
      <c r="I73" s="103"/>
      <c r="J73" s="34"/>
      <c r="K73" s="34"/>
      <c r="L73" s="34"/>
      <c r="M73" s="34"/>
      <c r="N73" s="34"/>
      <c r="O73" s="34"/>
      <c r="P73" s="34"/>
      <c r="Q73" s="34"/>
      <c r="R73" s="34"/>
      <c r="S73" s="34"/>
      <c r="T73" s="34"/>
      <c r="U73" s="34"/>
      <c r="V73" s="34"/>
      <c r="W73" s="34"/>
      <c r="X73" s="34"/>
      <c r="Y73" s="34"/>
      <c r="Z73" s="34"/>
      <c r="AA73" s="34"/>
      <c r="AB73" s="34"/>
      <c r="AC73" s="34"/>
      <c r="AD73" s="34"/>
      <c r="AE73" s="34"/>
      <c r="AF73" s="34"/>
      <c r="AG73" s="75"/>
      <c r="AH73" s="83"/>
      <c r="AI73" s="78"/>
      <c r="AJ73" s="34"/>
    </row>
    <row r="74" spans="1:36">
      <c r="A74" s="54" t="s">
        <v>1126</v>
      </c>
      <c r="B74" s="54"/>
      <c r="C74" s="103"/>
      <c r="D74" s="103"/>
      <c r="E74" s="34"/>
      <c r="F74" s="103"/>
      <c r="G74" s="103"/>
      <c r="H74" s="103"/>
      <c r="I74" s="103"/>
      <c r="J74" s="34"/>
      <c r="K74" s="34"/>
      <c r="L74" s="34"/>
      <c r="M74" s="34"/>
      <c r="N74" s="34"/>
      <c r="O74" s="34"/>
      <c r="P74" s="34"/>
      <c r="Q74" s="34"/>
      <c r="R74" s="34"/>
      <c r="S74" s="34"/>
      <c r="T74" s="34"/>
      <c r="U74" s="34"/>
      <c r="V74" s="34"/>
      <c r="W74" s="34"/>
      <c r="X74" s="34"/>
      <c r="Y74" s="34"/>
      <c r="Z74" s="34"/>
      <c r="AA74" s="34"/>
      <c r="AB74" s="34"/>
      <c r="AC74" s="34"/>
      <c r="AD74" s="34"/>
      <c r="AE74" s="34"/>
      <c r="AF74" s="34"/>
      <c r="AG74" s="59"/>
      <c r="AH74" s="73"/>
      <c r="AI74" s="58"/>
      <c r="AJ74" s="34"/>
    </row>
    <row r="75" spans="1:36">
      <c r="A75" s="54" t="s">
        <v>1127</v>
      </c>
      <c r="B75" s="54"/>
      <c r="C75" s="103"/>
      <c r="D75" s="103"/>
      <c r="E75" s="34"/>
      <c r="F75" s="103"/>
      <c r="G75" s="103"/>
      <c r="H75" s="103"/>
      <c r="I75" s="103"/>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row>
    <row r="76" spans="1:36">
      <c r="A76" s="54" t="s">
        <v>1128</v>
      </c>
      <c r="B76" s="54"/>
      <c r="C76" s="103"/>
      <c r="D76" s="103"/>
      <c r="E76" s="34"/>
      <c r="F76" s="103"/>
      <c r="G76" s="103"/>
      <c r="H76" s="103"/>
      <c r="I76" s="103"/>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row>
    <row r="77" spans="1:36">
      <c r="A77" s="54" t="s">
        <v>1129</v>
      </c>
      <c r="B77" s="54"/>
      <c r="C77" s="103"/>
      <c r="D77" s="103"/>
      <c r="E77" s="34"/>
      <c r="F77" s="103"/>
      <c r="G77" s="103"/>
      <c r="H77" s="103"/>
      <c r="I77" s="103"/>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row>
    <row r="78" spans="1:36">
      <c r="A78" s="54" t="s">
        <v>1130</v>
      </c>
      <c r="B78" s="54"/>
      <c r="C78" s="103"/>
      <c r="D78" s="103"/>
      <c r="E78" s="34"/>
      <c r="F78" s="103"/>
      <c r="G78" s="103"/>
      <c r="H78" s="103"/>
      <c r="I78" s="103"/>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row>
    <row r="79" spans="1:36">
      <c r="A79" s="54" t="s">
        <v>1131</v>
      </c>
      <c r="B79" s="54"/>
      <c r="C79" s="103"/>
      <c r="D79" s="103"/>
      <c r="E79" s="34"/>
      <c r="F79" s="103"/>
      <c r="G79" s="103"/>
      <c r="H79" s="103"/>
      <c r="I79" s="103"/>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row>
    <row r="80" spans="1:36">
      <c r="A80" s="54" t="s">
        <v>1132</v>
      </c>
      <c r="B80" s="54"/>
      <c r="C80" s="103"/>
      <c r="D80" s="103"/>
      <c r="E80" s="34"/>
      <c r="F80" s="103"/>
      <c r="G80" s="103"/>
      <c r="H80" s="103"/>
      <c r="I80" s="103"/>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row>
    <row r="81" spans="1:36">
      <c r="A81" s="54" t="s">
        <v>1133</v>
      </c>
      <c r="B81" s="54"/>
      <c r="C81" s="103"/>
      <c r="D81" s="103"/>
      <c r="E81" s="34"/>
      <c r="F81" s="103"/>
      <c r="G81" s="103"/>
      <c r="H81" s="103"/>
      <c r="I81" s="103"/>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row>
    <row r="82" spans="1:36">
      <c r="A82" s="54" t="s">
        <v>1134</v>
      </c>
      <c r="B82" s="54"/>
      <c r="C82" s="103"/>
      <c r="D82" s="103"/>
      <c r="E82" s="34"/>
      <c r="F82" s="103"/>
      <c r="G82" s="103"/>
      <c r="H82" s="103"/>
      <c r="I82" s="103"/>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row>
    <row r="83" spans="1:36">
      <c r="A83" s="54" t="s">
        <v>1135</v>
      </c>
      <c r="B83" s="54"/>
      <c r="C83" s="103"/>
      <c r="D83" s="103"/>
      <c r="E83" s="34"/>
      <c r="F83" s="103"/>
      <c r="G83" s="103"/>
      <c r="H83" s="103"/>
      <c r="I83" s="103"/>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row>
    <row r="84" spans="1:36">
      <c r="A84" s="54" t="s">
        <v>1136</v>
      </c>
      <c r="B84" s="54"/>
      <c r="C84" s="103"/>
      <c r="D84" s="103"/>
      <c r="E84" s="34"/>
      <c r="F84" s="103"/>
      <c r="G84" s="103"/>
      <c r="H84" s="103"/>
      <c r="I84" s="103"/>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row>
    <row r="85" spans="1:36">
      <c r="A85" s="54" t="s">
        <v>1137</v>
      </c>
      <c r="B85" s="54"/>
      <c r="C85" s="103"/>
      <c r="D85" s="103"/>
      <c r="E85" s="34"/>
      <c r="F85" s="103"/>
      <c r="G85" s="103"/>
      <c r="H85" s="103"/>
      <c r="I85" s="103"/>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row>
    <row r="86" spans="1:36">
      <c r="A86" s="54" t="s">
        <v>1138</v>
      </c>
      <c r="B86" s="54"/>
      <c r="C86" s="103"/>
      <c r="D86" s="103"/>
      <c r="E86" s="34"/>
      <c r="F86" s="103"/>
      <c r="G86" s="103"/>
      <c r="H86" s="103"/>
      <c r="I86" s="103"/>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row>
    <row r="87" spans="1:36">
      <c r="A87" s="54" t="s">
        <v>1139</v>
      </c>
      <c r="B87" s="54"/>
      <c r="C87" s="103"/>
      <c r="D87" s="103"/>
      <c r="E87" s="34"/>
      <c r="F87" s="103"/>
      <c r="G87" s="103"/>
      <c r="H87" s="103"/>
      <c r="I87" s="103"/>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row>
    <row r="88" spans="1:36">
      <c r="A88" s="54" t="s">
        <v>1140</v>
      </c>
      <c r="B88" s="54"/>
      <c r="C88" s="103"/>
      <c r="D88" s="103"/>
      <c r="E88" s="34"/>
      <c r="F88" s="103"/>
      <c r="G88" s="103"/>
      <c r="H88" s="103"/>
      <c r="I88" s="103"/>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row>
    <row r="89" spans="1:36" s="53" customFormat="1">
      <c r="A89" s="54" t="s">
        <v>1141</v>
      </c>
      <c r="B89" s="54"/>
      <c r="C89" s="103"/>
      <c r="D89" s="103"/>
      <c r="E89" s="34"/>
      <c r="F89" s="103"/>
      <c r="G89" s="103"/>
      <c r="H89" s="103"/>
      <c r="I89" s="103"/>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1:36">
      <c r="A90" s="54" t="s">
        <v>1142</v>
      </c>
      <c r="B90" s="54"/>
      <c r="C90" s="103"/>
      <c r="D90" s="103"/>
      <c r="E90" s="34"/>
      <c r="F90" s="103"/>
      <c r="G90" s="103"/>
      <c r="H90" s="103"/>
      <c r="I90" s="103"/>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row>
    <row r="91" spans="1:36">
      <c r="A91" s="54" t="s">
        <v>1143</v>
      </c>
      <c r="B91" s="54"/>
      <c r="C91" s="103"/>
      <c r="D91" s="103"/>
      <c r="E91" s="34"/>
      <c r="F91" s="103"/>
      <c r="G91" s="103"/>
      <c r="H91" s="103"/>
      <c r="I91" s="103"/>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row>
    <row r="92" spans="1:36">
      <c r="A92" s="34" t="s">
        <v>1144</v>
      </c>
      <c r="B92" s="34"/>
      <c r="C92" s="103"/>
      <c r="D92" s="103"/>
      <c r="E92" s="34"/>
      <c r="F92" s="103"/>
      <c r="G92" s="103"/>
      <c r="H92" s="103"/>
      <c r="I92" s="103"/>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row>
    <row r="93" spans="1:36">
      <c r="A93" s="34" t="s">
        <v>1145</v>
      </c>
      <c r="B93" s="34"/>
      <c r="C93" s="103"/>
      <c r="D93" s="103"/>
      <c r="E93" s="34"/>
      <c r="F93" s="103"/>
      <c r="G93" s="103"/>
      <c r="H93" s="103"/>
      <c r="I93" s="103"/>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row>
    <row r="94" spans="1:36">
      <c r="A94" s="34" t="s">
        <v>1146</v>
      </c>
      <c r="B94" s="34"/>
      <c r="C94" s="103"/>
      <c r="D94" s="103"/>
      <c r="E94" s="34"/>
      <c r="F94" s="103"/>
      <c r="G94" s="103"/>
      <c r="H94" s="103"/>
      <c r="I94" s="103"/>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row>
    <row r="95" spans="1:36">
      <c r="A95" s="34" t="s">
        <v>1147</v>
      </c>
      <c r="B95" s="34"/>
      <c r="C95" s="103"/>
      <c r="D95" s="103"/>
      <c r="E95" s="34"/>
      <c r="F95" s="103"/>
      <c r="G95" s="103"/>
      <c r="H95" s="103"/>
      <c r="I95" s="103"/>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row>
    <row r="96" spans="1:36">
      <c r="A96" s="103"/>
      <c r="C96" s="103"/>
      <c r="D96" s="103"/>
      <c r="E96" s="34"/>
      <c r="F96" s="103"/>
      <c r="G96" s="103"/>
      <c r="H96" s="103"/>
      <c r="I96" s="103"/>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row>
    <row r="97" spans="1:36">
      <c r="A97" s="103"/>
      <c r="C97" s="103"/>
      <c r="D97" s="103"/>
      <c r="E97" s="34"/>
      <c r="F97" s="103"/>
      <c r="G97" s="103"/>
      <c r="H97" s="103"/>
      <c r="I97" s="103"/>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row>
    <row r="98" spans="1:36">
      <c r="A98" s="103"/>
      <c r="C98" s="103"/>
      <c r="D98" s="103"/>
      <c r="E98" s="34"/>
      <c r="F98" s="103"/>
      <c r="G98" s="103"/>
      <c r="H98" s="103"/>
      <c r="I98" s="103"/>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row>
    <row r="99" spans="1:36">
      <c r="A99" s="103"/>
      <c r="C99" s="103"/>
      <c r="D99" s="103"/>
      <c r="E99" s="34"/>
      <c r="F99" s="103"/>
      <c r="G99" s="103"/>
      <c r="H99" s="103"/>
      <c r="I99" s="103"/>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row>
    <row r="100" spans="1:36">
      <c r="A100" s="103"/>
      <c r="C100" s="103"/>
      <c r="D100" s="103"/>
      <c r="E100" s="34"/>
      <c r="F100" s="103"/>
      <c r="G100" s="103"/>
      <c r="H100" s="103"/>
      <c r="I100" s="103"/>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row>
    <row r="101" spans="1:36">
      <c r="A101" s="103"/>
      <c r="C101" s="103"/>
      <c r="D101" s="103"/>
      <c r="E101" s="34"/>
      <c r="F101" s="103"/>
      <c r="G101" s="103"/>
      <c r="H101" s="103"/>
      <c r="I101" s="103"/>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row>
    <row r="102" spans="1:36">
      <c r="A102" s="34"/>
      <c r="B102" s="34"/>
      <c r="C102" s="103"/>
      <c r="D102" s="103"/>
      <c r="E102" s="34"/>
      <c r="F102" s="103"/>
      <c r="G102" s="103"/>
      <c r="H102" s="103"/>
      <c r="I102" s="103"/>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row>
    <row r="103" spans="1:36">
      <c r="A103" s="34"/>
      <c r="B103" s="34"/>
      <c r="C103" s="103"/>
      <c r="D103" s="103"/>
      <c r="E103" s="34"/>
      <c r="F103" s="103"/>
      <c r="G103" s="103"/>
      <c r="H103" s="103"/>
      <c r="I103" s="103"/>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row>
    <row r="104" spans="1:36">
      <c r="A104" s="34"/>
      <c r="B104" s="34"/>
      <c r="C104" s="103"/>
      <c r="D104" s="103"/>
      <c r="E104" s="34"/>
      <c r="F104" s="103"/>
      <c r="G104" s="103"/>
      <c r="H104" s="103"/>
      <c r="I104" s="103"/>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row>
    <row r="105" spans="1:36">
      <c r="A105" s="34"/>
      <c r="B105" s="34"/>
      <c r="C105" s="103"/>
      <c r="D105" s="103"/>
      <c r="E105" s="34"/>
      <c r="F105" s="103"/>
      <c r="G105" s="103"/>
      <c r="H105" s="103"/>
      <c r="I105" s="103"/>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row>
    <row r="106" spans="1:36">
      <c r="A106" s="34"/>
      <c r="B106" s="34"/>
      <c r="C106" s="103"/>
      <c r="D106" s="103"/>
      <c r="E106" s="34"/>
      <c r="F106" s="103"/>
      <c r="G106" s="103"/>
      <c r="H106" s="103"/>
      <c r="I106" s="103"/>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row>
    <row r="107" spans="1:36">
      <c r="A107" s="34"/>
      <c r="B107" s="34"/>
      <c r="C107" s="103"/>
      <c r="D107" s="103"/>
      <c r="E107" s="34"/>
      <c r="F107" s="103"/>
      <c r="G107" s="103"/>
      <c r="H107" s="103"/>
      <c r="I107" s="103"/>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row>
    <row r="108" spans="1:36">
      <c r="A108" s="34"/>
      <c r="B108" s="34"/>
      <c r="C108" s="103"/>
      <c r="D108" s="103"/>
      <c r="E108" s="34"/>
      <c r="F108" s="103"/>
      <c r="G108" s="103"/>
      <c r="H108" s="103"/>
      <c r="I108" s="103"/>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row>
    <row r="109" spans="1:36">
      <c r="A109" s="34"/>
      <c r="B109" s="34"/>
      <c r="C109" s="103"/>
      <c r="D109" s="103"/>
      <c r="E109" s="34"/>
      <c r="F109" s="103"/>
      <c r="G109" s="103"/>
      <c r="H109" s="103"/>
      <c r="I109" s="103"/>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row>
    <row r="110" spans="1:36">
      <c r="A110" s="34"/>
      <c r="B110" s="34"/>
      <c r="C110" s="103"/>
      <c r="D110" s="103"/>
      <c r="E110" s="34"/>
      <c r="F110" s="103"/>
      <c r="G110" s="103"/>
      <c r="H110" s="103"/>
      <c r="I110" s="103"/>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row>
    <row r="111" spans="1:36">
      <c r="A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34"/>
      <c r="AH111" s="34"/>
      <c r="AI111" s="34"/>
      <c r="AJ111" s="103"/>
    </row>
    <row r="112" spans="1:36">
      <c r="A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34"/>
      <c r="AH112" s="34"/>
      <c r="AI112" s="34"/>
      <c r="AJ112" s="103"/>
    </row>
  </sheetData>
  <hyperlinks>
    <hyperlink ref="AH32" r:id="rId1" xr:uid="{00000000-0004-0000-0C00-000000000000}"/>
  </hyperlinks>
  <pageMargins left="0.7" right="0.7" top="0.75" bottom="0.75" header="0.3" footer="0.3"/>
  <pageSetup orientation="portrait" horizontalDpi="4294967292" verticalDpi="4294967292" r:id="rId2"/>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3DBED0F297A27A428C5E683C72019FDE" ma:contentTypeVersion="7016" ma:contentTypeDescription="Create a new document." ma:contentTypeScope="" ma:versionID="434f61419d51274511a2c2416b241eed">
  <xsd:schema xmlns:xsd="http://www.w3.org/2001/XMLSchema" xmlns:xs="http://www.w3.org/2001/XMLSchema" xmlns:p="http://schemas.microsoft.com/office/2006/metadata/properties" xmlns:ns2="238dd806-a5b7-46a5-9c55-c2d3786c84e5" xmlns:ns3="a2b45db3-1b4b-4e89-8cee-a5413acd7757" targetNamespace="http://schemas.microsoft.com/office/2006/metadata/properties" ma:root="true" ma:fieldsID="194701b6dcf93bb99cfabdd7ad0274f7" ns2:_="" ns3:_="">
    <xsd:import namespace="238dd806-a5b7-46a5-9c55-c2d3786c84e5"/>
    <xsd:import namespace="a2b45db3-1b4b-4e89-8cee-a5413acd7757"/>
    <xsd:element name="properties">
      <xsd:complexType>
        <xsd:sequence>
          <xsd:element name="documentManagement">
            <xsd:complexType>
              <xsd:all>
                <xsd:element ref="ns2:SharedWithUsers" minOccurs="0"/>
                <xsd:element ref="ns2:SharedWithDetails" minOccurs="0"/>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MediaServiceAutoTag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7b34abca-2261-4c4d-83be-4c47f5826515}" ma:internalName="TaxCatchAll" ma:showField="CatchAllData" ma:web="238dd806-a5b7-46a5-9c55-c2d3786c84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2b45db3-1b4b-4e89-8cee-a5413acd7757"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ma:index="10"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238dd806-a5b7-46a5-9c55-c2d3786c84e5" xsi:nil="true"/>
    <lcf76f155ced4ddcb4097134ff3c332f xmlns="a2b45db3-1b4b-4e89-8cee-a5413acd7757">
      <Terms xmlns="http://schemas.microsoft.com/office/infopath/2007/PartnerControls"/>
    </lcf76f155ced4ddcb4097134ff3c332f>
    <_dlc_DocId xmlns="238dd806-a5b7-46a5-9c55-c2d3786c84e5">NYSERDAEXT-1787926885-3469</_dlc_DocId>
    <_dlc_DocIdUrl xmlns="238dd806-a5b7-46a5-9c55-c2d3786c84e5">
      <Url>https://nysemail.sharepoint.com/sites/nyserda-ext/ExternalCollaboration/Contractors/AES/_layouts/15/DocIdRedir.aspx?ID=NYSERDAEXT-1787926885-3469</Url>
      <Description>NYSERDAEXT-1787926885-3469</Description>
    </_dlc_DocIdUrl>
  </documentManagement>
</p:properties>
</file>

<file path=customXml/itemProps1.xml><?xml version="1.0" encoding="utf-8"?>
<ds:datastoreItem xmlns:ds="http://schemas.openxmlformats.org/officeDocument/2006/customXml" ds:itemID="{AE5322F0-A3E0-4F20-8192-368907055E41}"/>
</file>

<file path=customXml/itemProps2.xml><?xml version="1.0" encoding="utf-8"?>
<ds:datastoreItem xmlns:ds="http://schemas.openxmlformats.org/officeDocument/2006/customXml" ds:itemID="{CF6D8131-72F4-4105-AE26-1431731CDC67}"/>
</file>

<file path=customXml/itemProps3.xml><?xml version="1.0" encoding="utf-8"?>
<ds:datastoreItem xmlns:ds="http://schemas.openxmlformats.org/officeDocument/2006/customXml" ds:itemID="{18DD2E2E-EC58-4953-80FC-2EF06B61EB68}"/>
</file>

<file path=customXml/itemProps4.xml><?xml version="1.0" encoding="utf-8"?>
<ds:datastoreItem xmlns:ds="http://schemas.openxmlformats.org/officeDocument/2006/customXml" ds:itemID="{DC4EE670-220D-4366-997B-C67B187CFC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Nitish Hirve</dc:creator>
  <cp:keywords/>
  <dc:description/>
  <cp:lastModifiedBy>Brown, Saul (NYSERDA)</cp:lastModifiedBy>
  <cp:revision/>
  <dcterms:created xsi:type="dcterms:W3CDTF">2015-05-21T20:24:11Z</dcterms:created>
  <dcterms:modified xsi:type="dcterms:W3CDTF">2024-01-25T17:40:02Z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0x0101003DBED0F297A27A428C5E683C72019FDE</vt:lpwstr>
  </property>
  <property fmtid="{D5CDD505-2E9C-101B-9397-08002B2CF9AE}" pid="3" name="MSIP_Label_82fa3fd3-029b-403d-91b4-1dc930cb0e60_Enabled">
    <vt:lpwstr>true</vt:lpwstr>
  </property>
  <property fmtid="{D5CDD505-2E9C-101B-9397-08002B2CF9AE}" pid="4" name="MSIP_Label_82fa3fd3-029b-403d-91b4-1dc930cb0e60_SetDate">
    <vt:lpwstr>2020-06-27T00:02:12Z</vt:lpwstr>
  </property>
  <property fmtid="{D5CDD505-2E9C-101B-9397-08002B2CF9AE}" pid="5" name="MSIP_Label_82fa3fd3-029b-403d-91b4-1dc930cb0e60_Method">
    <vt:lpwstr>Standard</vt:lpwstr>
  </property>
  <property fmtid="{D5CDD505-2E9C-101B-9397-08002B2CF9AE}" pid="6" name="MSIP_Label_82fa3fd3-029b-403d-91b4-1dc930cb0e60_Name">
    <vt:lpwstr>82fa3fd3-029b-403d-91b4-1dc930cb0e60</vt:lpwstr>
  </property>
  <property fmtid="{D5CDD505-2E9C-101B-9397-08002B2CF9AE}" pid="7" name="MSIP_Label_82fa3fd3-029b-403d-91b4-1dc930cb0e60_SiteId">
    <vt:lpwstr>4ae48b41-0137-4599-8661-fc641fe77bea</vt:lpwstr>
  </property>
  <property fmtid="{D5CDD505-2E9C-101B-9397-08002B2CF9AE}" pid="8" name="MSIP_Label_82fa3fd3-029b-403d-91b4-1dc930cb0e60_ActionId">
    <vt:lpwstr>a03481dc-9a3f-4d65-92c9-c42e64906983</vt:lpwstr>
  </property>
  <property fmtid="{D5CDD505-2E9C-101B-9397-08002B2CF9AE}" pid="9" name="MSIP_Label_82fa3fd3-029b-403d-91b4-1dc930cb0e60_ContentBits">
    <vt:lpwstr>0</vt:lpwstr>
  </property>
  <property fmtid="{D5CDD505-2E9C-101B-9397-08002B2CF9AE}" pid="10" name="_dlc_DocIdItemGuid">
    <vt:lpwstr>fdfcf64a-c879-4333-b342-178964e43d97</vt:lpwstr>
  </property>
  <property fmtid="{D5CDD505-2E9C-101B-9397-08002B2CF9AE}" pid="11" name="MediaServiceImageTags">
    <vt:lpwstr/>
  </property>
</Properties>
</file>